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ym77111\AppData\Local\Microsoft\Windows\INetCache\Content.Outlook\G3BIO1W4\"/>
    </mc:Choice>
  </mc:AlternateContent>
  <xr:revisionPtr revIDLastSave="0" documentId="8_{6475EDCB-33DF-4DF1-929A-8672E9CAFD38}" xr6:coauthVersionLast="47" xr6:coauthVersionMax="47" xr10:uidLastSave="{00000000-0000-0000-0000-000000000000}"/>
  <workbookProtection workbookAlgorithmName="SHA-512" workbookHashValue="ffF+FX1fUkujBU3RAISP7xNJrjfXA3xrmRO/ObwW6GOaiyCCqablzXLqnudq6INTGoG3DW37B/2JcJRF0VS8Wg==" workbookSaltValue="yPtXuJGtZr6ZMQBlDZpWgw==" workbookSpinCount="100000" lockStructure="1"/>
  <bookViews>
    <workbookView xWindow="-110" yWindow="-110" windowWidth="19420" windowHeight="10420" xr2:uid="{00000000-000D-0000-FFFF-FFFF00000000}"/>
  </bookViews>
  <sheets>
    <sheet name="Beregningsark" sheetId="6" r:id="rId1"/>
    <sheet name="Priser" sheetId="11" r:id="rId2"/>
    <sheet name="Validering" sheetId="14" state="hidden" r:id="rId3"/>
    <sheet name="Veilengde" sheetId="12" r:id="rId4"/>
  </sheets>
  <definedNames>
    <definedName name="_xlnm._FilterDatabase" localSheetId="0" hidden="1">Beregningsark!$A$14:$K$55</definedName>
    <definedName name="_xlnm._FilterDatabase" localSheetId="1" hidden="1">Priser!$A$6:$R$47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1" l="1"/>
  <c r="J40" i="11"/>
  <c r="K40" i="11"/>
  <c r="I40" i="11"/>
  <c r="K41" i="11"/>
  <c r="J41" i="11"/>
  <c r="I41" i="11"/>
  <c r="H41" i="11"/>
  <c r="G24" i="11"/>
  <c r="D56" i="6"/>
  <c r="E56" i="6"/>
  <c r="E57" i="6"/>
  <c r="E58" i="6"/>
  <c r="D57" i="6"/>
  <c r="D58" i="6"/>
  <c r="J58" i="6" s="1"/>
  <c r="H42" i="11"/>
  <c r="J42" i="11"/>
  <c r="I42" i="11"/>
  <c r="K42" i="11"/>
  <c r="K54" i="6"/>
  <c r="K53" i="6"/>
  <c r="K52" i="6"/>
  <c r="K51" i="6"/>
  <c r="K50" i="6"/>
  <c r="K49" i="6"/>
  <c r="K48" i="6"/>
  <c r="J48" i="6"/>
  <c r="J54" i="6"/>
  <c r="J53" i="6"/>
  <c r="J52" i="6"/>
  <c r="J51" i="6"/>
  <c r="J50" i="6"/>
  <c r="J49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G15" i="6"/>
  <c r="F15" i="6"/>
  <c r="G14" i="11"/>
  <c r="I22" i="6" s="1"/>
  <c r="G17" i="11"/>
  <c r="I25" i="6" s="1"/>
  <c r="G19" i="11"/>
  <c r="I27" i="6" s="1"/>
  <c r="G20" i="11"/>
  <c r="I28" i="6" s="1"/>
  <c r="G21" i="11"/>
  <c r="I29" i="6" s="1"/>
  <c r="G22" i="11"/>
  <c r="I30" i="6" s="1"/>
  <c r="G26" i="11"/>
  <c r="I34" i="6" s="1"/>
  <c r="G27" i="11"/>
  <c r="K35" i="6" s="1"/>
  <c r="G28" i="11"/>
  <c r="I36" i="6" s="1"/>
  <c r="G29" i="11"/>
  <c r="I37" i="6" s="1"/>
  <c r="G30" i="11"/>
  <c r="I38" i="6" s="1"/>
  <c r="G31" i="11"/>
  <c r="K39" i="6" s="1"/>
  <c r="G32" i="11"/>
  <c r="I40" i="6" s="1"/>
  <c r="G33" i="11"/>
  <c r="I41" i="6" s="1"/>
  <c r="G34" i="11"/>
  <c r="I42" i="6" s="1"/>
  <c r="G35" i="11"/>
  <c r="K43" i="6" s="1"/>
  <c r="G36" i="11"/>
  <c r="I44" i="6" s="1"/>
  <c r="G38" i="11"/>
  <c r="I46" i="6" s="1"/>
  <c r="G39" i="11"/>
  <c r="K47" i="6" s="1"/>
  <c r="G40" i="11"/>
  <c r="G41" i="11"/>
  <c r="G42" i="11"/>
  <c r="G43" i="11"/>
  <c r="G44" i="11"/>
  <c r="G45" i="11"/>
  <c r="G46" i="11"/>
  <c r="F13" i="11"/>
  <c r="H21" i="6" s="1"/>
  <c r="F14" i="11"/>
  <c r="H22" i="6" s="1"/>
  <c r="F15" i="11"/>
  <c r="J23" i="6" s="1"/>
  <c r="F16" i="11"/>
  <c r="H24" i="6" s="1"/>
  <c r="F17" i="11"/>
  <c r="H25" i="6" s="1"/>
  <c r="F18" i="11"/>
  <c r="H26" i="6" s="1"/>
  <c r="F19" i="11"/>
  <c r="H27" i="6" s="1"/>
  <c r="F21" i="11"/>
  <c r="H29" i="6" s="1"/>
  <c r="F22" i="11"/>
  <c r="H30" i="6" s="1"/>
  <c r="F27" i="11"/>
  <c r="H35" i="6" s="1"/>
  <c r="F30" i="11"/>
  <c r="H38" i="6" s="1"/>
  <c r="F31" i="11"/>
  <c r="H39" i="6" s="1"/>
  <c r="F32" i="11"/>
  <c r="H40" i="6" s="1"/>
  <c r="F33" i="11"/>
  <c r="H41" i="6" s="1"/>
  <c r="F34" i="11"/>
  <c r="H42" i="6" s="1"/>
  <c r="F35" i="11"/>
  <c r="H43" i="6" s="1"/>
  <c r="F36" i="11"/>
  <c r="H44" i="6" s="1"/>
  <c r="F37" i="11"/>
  <c r="H45" i="6" s="1"/>
  <c r="F38" i="11"/>
  <c r="H46" i="6" s="1"/>
  <c r="F39" i="11"/>
  <c r="H47" i="6" s="1"/>
  <c r="F40" i="11"/>
  <c r="F41" i="11"/>
  <c r="F43" i="11"/>
  <c r="F44" i="11"/>
  <c r="F45" i="11"/>
  <c r="F46" i="11"/>
  <c r="F47" i="11"/>
  <c r="K22" i="6"/>
  <c r="K28" i="6"/>
  <c r="K30" i="6"/>
  <c r="K34" i="6"/>
  <c r="K36" i="6"/>
  <c r="K37" i="6"/>
  <c r="K38" i="6"/>
  <c r="K40" i="6"/>
  <c r="K42" i="6"/>
  <c r="K44" i="6"/>
  <c r="K46" i="6"/>
  <c r="J21" i="6"/>
  <c r="J22" i="6"/>
  <c r="J24" i="6"/>
  <c r="J26" i="6"/>
  <c r="J30" i="6"/>
  <c r="J35" i="6"/>
  <c r="J38" i="6"/>
  <c r="J39" i="6"/>
  <c r="J40" i="6"/>
  <c r="J42" i="6"/>
  <c r="J43" i="6"/>
  <c r="J44" i="6"/>
  <c r="J46" i="6"/>
  <c r="J47" i="6"/>
  <c r="Q18" i="11"/>
  <c r="G18" i="11" s="1"/>
  <c r="Q17" i="11"/>
  <c r="Q16" i="11"/>
  <c r="G16" i="11" s="1"/>
  <c r="Q15" i="11"/>
  <c r="G15" i="11" s="1"/>
  <c r="Q11" i="11"/>
  <c r="L11" i="11"/>
  <c r="K11" i="11"/>
  <c r="P11" i="11" s="1"/>
  <c r="G11" i="11" s="1"/>
  <c r="M25" i="11"/>
  <c r="G25" i="11" s="1"/>
  <c r="M23" i="11"/>
  <c r="G23" i="11" s="1"/>
  <c r="M9" i="11"/>
  <c r="G9" i="11" s="1"/>
  <c r="M7" i="11"/>
  <c r="H29" i="11"/>
  <c r="H28" i="11"/>
  <c r="F28" i="11" s="1"/>
  <c r="H26" i="11"/>
  <c r="F26" i="11" s="1"/>
  <c r="H25" i="11"/>
  <c r="H23" i="11"/>
  <c r="F23" i="11" s="1"/>
  <c r="H12" i="11"/>
  <c r="F12" i="11" s="1"/>
  <c r="H9" i="11"/>
  <c r="H8" i="11"/>
  <c r="M8" i="11" s="1"/>
  <c r="G8" i="11" s="1"/>
  <c r="H7" i="11"/>
  <c r="F7" i="11" s="1"/>
  <c r="H15" i="6" s="1"/>
  <c r="J29" i="11"/>
  <c r="F29" i="11" s="1"/>
  <c r="J28" i="11"/>
  <c r="J26" i="11"/>
  <c r="I26" i="11"/>
  <c r="I25" i="11"/>
  <c r="N25" i="11" s="1"/>
  <c r="I23" i="11"/>
  <c r="I12" i="11"/>
  <c r="N12" i="11" s="1"/>
  <c r="I9" i="11"/>
  <c r="N9" i="11" s="1"/>
  <c r="I8" i="11"/>
  <c r="N8" i="11" s="1"/>
  <c r="I7" i="11"/>
  <c r="N7" i="11" s="1"/>
  <c r="N23" i="11"/>
  <c r="P25" i="11"/>
  <c r="P23" i="11"/>
  <c r="F42" i="11"/>
  <c r="P8" i="11"/>
  <c r="P10" i="11"/>
  <c r="G10" i="11" s="1"/>
  <c r="P13" i="11"/>
  <c r="G13" i="11" s="1"/>
  <c r="K29" i="11"/>
  <c r="K28" i="11"/>
  <c r="K26" i="11"/>
  <c r="K25" i="11"/>
  <c r="K24" i="11"/>
  <c r="P24" i="11" s="1"/>
  <c r="K23" i="11"/>
  <c r="K20" i="11"/>
  <c r="F20" i="11" s="1"/>
  <c r="K13" i="11"/>
  <c r="K12" i="11"/>
  <c r="P12" i="11" s="1"/>
  <c r="K10" i="11"/>
  <c r="F10" i="11" s="1"/>
  <c r="K9" i="11"/>
  <c r="P9" i="11" s="1"/>
  <c r="K7" i="11"/>
  <c r="P7" i="11" s="1"/>
  <c r="K8" i="11"/>
  <c r="K57" i="6" l="1"/>
  <c r="J57" i="6"/>
  <c r="K58" i="6"/>
  <c r="H34" i="6"/>
  <c r="J34" i="6"/>
  <c r="H28" i="6"/>
  <c r="I18" i="6"/>
  <c r="K18" i="6"/>
  <c r="H37" i="6"/>
  <c r="J37" i="6"/>
  <c r="H20" i="6"/>
  <c r="J20" i="6"/>
  <c r="H36" i="6"/>
  <c r="J36" i="6"/>
  <c r="K32" i="6"/>
  <c r="I32" i="6"/>
  <c r="I21" i="6"/>
  <c r="K21" i="6"/>
  <c r="K17" i="6"/>
  <c r="I17" i="6"/>
  <c r="I24" i="6"/>
  <c r="K24" i="6"/>
  <c r="H18" i="6"/>
  <c r="J18" i="6"/>
  <c r="J32" i="6"/>
  <c r="H32" i="6"/>
  <c r="K26" i="6"/>
  <c r="I26" i="6"/>
  <c r="K19" i="6"/>
  <c r="I19" i="6"/>
  <c r="I16" i="6"/>
  <c r="K16" i="6"/>
  <c r="G7" i="11"/>
  <c r="I15" i="6" s="1"/>
  <c r="I31" i="6"/>
  <c r="K31" i="6"/>
  <c r="K23" i="6"/>
  <c r="I23" i="6"/>
  <c r="F9" i="11"/>
  <c r="M12" i="11"/>
  <c r="G12" i="11" s="1"/>
  <c r="J25" i="6"/>
  <c r="K41" i="6"/>
  <c r="K25" i="6"/>
  <c r="F24" i="11"/>
  <c r="F8" i="11"/>
  <c r="F25" i="11"/>
  <c r="K29" i="6"/>
  <c r="F11" i="11"/>
  <c r="I47" i="6"/>
  <c r="I43" i="6"/>
  <c r="I39" i="6"/>
  <c r="I35" i="6"/>
  <c r="J29" i="6"/>
  <c r="J45" i="6"/>
  <c r="J41" i="6"/>
  <c r="H23" i="6"/>
  <c r="Q37" i="11"/>
  <c r="G37" i="11" s="1"/>
  <c r="H16" i="6" l="1"/>
  <c r="J16" i="6"/>
  <c r="J19" i="6"/>
  <c r="B69" i="6" s="1"/>
  <c r="H19" i="6"/>
  <c r="H33" i="6"/>
  <c r="J33" i="6"/>
  <c r="I20" i="6"/>
  <c r="K20" i="6"/>
  <c r="H31" i="6"/>
  <c r="J31" i="6"/>
  <c r="K45" i="6"/>
  <c r="I45" i="6"/>
  <c r="H17" i="6"/>
  <c r="J17" i="6"/>
  <c r="K33" i="6"/>
  <c r="I33" i="6"/>
  <c r="J15" i="6"/>
  <c r="G47" i="11"/>
  <c r="B47" i="11"/>
  <c r="B46" i="11"/>
  <c r="B45" i="11"/>
  <c r="B44" i="11"/>
  <c r="B43" i="11"/>
  <c r="B70" i="6" l="1"/>
  <c r="K27" i="6"/>
  <c r="J27" i="6"/>
  <c r="K56" i="6"/>
  <c r="J56" i="6"/>
  <c r="J59" i="6" s="1"/>
  <c r="K59" i="6" l="1"/>
  <c r="B10" i="6"/>
  <c r="D20" i="11" l="1"/>
  <c r="K15" i="6"/>
  <c r="F28" i="6" l="1"/>
  <c r="J28" i="6"/>
  <c r="J55" i="6" s="1"/>
  <c r="K55" i="6"/>
  <c r="C7" i="12"/>
  <c r="B66" i="6" l="1"/>
  <c r="B68" i="6"/>
  <c r="B67" i="6" l="1"/>
  <c r="K60" i="6" l="1"/>
  <c r="B71" i="6" l="1"/>
  <c r="J6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Nora Ekern</author>
  </authors>
  <commentList>
    <comment ref="A11" authorId="0" shapeId="0" xr:uid="{75A7AA26-266B-4673-B436-20A814E5819B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Er dette et nytt område/anlegg som ikke tidligere har blitt driftet? Hvis ja legger vi på kostnader for renhold, vinterdrift etc.</t>
        </r>
      </text>
    </comment>
    <comment ref="D56" authorId="0" shapeId="0" xr:uid="{41357B01-7A95-48D2-8173-4F1D9C5562A3}">
      <text>
        <r>
          <rPr>
            <b/>
            <sz val="9"/>
            <color indexed="81"/>
            <rFont val="Tahoma"/>
            <charset val="1"/>
          </rPr>
          <t>Nora Ekern:</t>
        </r>
        <r>
          <rPr>
            <sz val="9"/>
            <color indexed="81"/>
            <rFont val="Tahoma"/>
            <charset val="1"/>
          </rPr>
          <t xml:space="preserve">
Formel - skal ikke endres</t>
        </r>
      </text>
    </comment>
    <comment ref="E56" authorId="0" shapeId="0" xr:uid="{3B321484-7ACE-4DC4-8F07-C1504F0BC62A}">
      <text>
        <r>
          <rPr>
            <b/>
            <sz val="9"/>
            <color indexed="81"/>
            <rFont val="Tahoma"/>
            <charset val="1"/>
          </rPr>
          <t>Nora Ekern:</t>
        </r>
        <r>
          <rPr>
            <sz val="9"/>
            <color indexed="81"/>
            <rFont val="Tahoma"/>
            <charset val="1"/>
          </rPr>
          <t xml:space="preserve">
Formel - skal ikke endres</t>
        </r>
      </text>
    </comment>
    <comment ref="D57" authorId="0" shapeId="0" xr:uid="{070A5D6A-1016-4EA0-9574-D6FCA695E16A}">
      <text>
        <r>
          <rPr>
            <b/>
            <sz val="9"/>
            <color indexed="81"/>
            <rFont val="Tahoma"/>
            <charset val="1"/>
          </rPr>
          <t>Nora Ekern:</t>
        </r>
        <r>
          <rPr>
            <sz val="9"/>
            <color indexed="81"/>
            <rFont val="Tahoma"/>
            <charset val="1"/>
          </rPr>
          <t xml:space="preserve">
Formel - skal ikke endres</t>
        </r>
      </text>
    </comment>
    <comment ref="E57" authorId="0" shapeId="0" xr:uid="{E9913D9E-EAE7-4395-B62E-D5EFD7D33F7A}">
      <text>
        <r>
          <rPr>
            <b/>
            <sz val="9"/>
            <color indexed="81"/>
            <rFont val="Tahoma"/>
            <charset val="1"/>
          </rPr>
          <t>Nora Ekern:</t>
        </r>
        <r>
          <rPr>
            <sz val="9"/>
            <color indexed="81"/>
            <rFont val="Tahoma"/>
            <charset val="1"/>
          </rPr>
          <t xml:space="preserve">
Formel - skal ikke endres</t>
        </r>
      </text>
    </comment>
    <comment ref="D58" authorId="0" shapeId="0" xr:uid="{779CDC98-72C4-4C29-88F7-88B7321A6A66}">
      <text>
        <r>
          <rPr>
            <b/>
            <sz val="9"/>
            <color indexed="81"/>
            <rFont val="Tahoma"/>
            <charset val="1"/>
          </rPr>
          <t>Nora Ekern:</t>
        </r>
        <r>
          <rPr>
            <sz val="9"/>
            <color indexed="81"/>
            <rFont val="Tahoma"/>
            <charset val="1"/>
          </rPr>
          <t xml:space="preserve">
Formel - skal ikke endres</t>
        </r>
      </text>
    </comment>
    <comment ref="E58" authorId="0" shapeId="0" xr:uid="{0F6FB936-B438-4079-A694-FC7710692252}">
      <text>
        <r>
          <rPr>
            <b/>
            <sz val="9"/>
            <color indexed="81"/>
            <rFont val="Tahoma"/>
            <charset val="1"/>
          </rPr>
          <t>Nora Ekern:</t>
        </r>
        <r>
          <rPr>
            <sz val="9"/>
            <color indexed="81"/>
            <rFont val="Tahoma"/>
            <charset val="1"/>
          </rPr>
          <t xml:space="preserve">
Formel - skal ikke endres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Nora Ekern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Prisregulering sammenlignet med basisår.</t>
        </r>
      </text>
    </comment>
    <comment ref="E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Hvor lang tid før utstyret må skiftes ut/vedlikeholdes?</t>
        </r>
      </text>
    </comment>
    <comment ref="K11" authorId="0" shapeId="0" xr:uid="{CBB9ABD0-63D8-4726-90CA-A0AF683761BC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Pris fra faktura 2022.</t>
        </r>
      </text>
    </comment>
    <comment ref="D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Ingen drift utover re-oppmerking/vedlikehold
</t>
        </r>
      </text>
    </comment>
    <comment ref="D1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Ingen drift utover re-oppmerking/vedlikehold
</t>
        </r>
      </text>
    </comment>
    <comment ref="Q19" authorId="0" shapeId="0" xr:uid="{4F96A858-3602-4E48-9C3B-0F30BA43195C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Erfaringstall TS tiltak 2022</t>
        </r>
      </text>
    </comment>
    <comment ref="P20" authorId="0" shapeId="0" xr:uid="{6EBA0EB4-5E64-4723-BFDD-12D3FF26CDAF}">
      <text>
        <r>
          <rPr>
            <b/>
            <sz val="9"/>
            <color indexed="81"/>
            <rFont val="Tahoma"/>
            <charset val="1"/>
          </rPr>
          <t>Nora Ekern:</t>
        </r>
        <r>
          <rPr>
            <sz val="9"/>
            <color indexed="81"/>
            <rFont val="Tahoma"/>
            <charset val="1"/>
          </rPr>
          <t xml:space="preserve">
Erfaringstall 2022</t>
        </r>
      </text>
    </comment>
    <comment ref="Q32" authorId="0" shapeId="0" xr:uid="{FC2585F1-982E-4DE7-91FA-00C31FA9E06D}">
      <text>
        <r>
          <rPr>
            <b/>
            <sz val="9"/>
            <color indexed="81"/>
            <rFont val="Tahoma"/>
            <family val="2"/>
          </rPr>
          <t>Nora Ekern:</t>
        </r>
        <r>
          <rPr>
            <sz val="9"/>
            <color indexed="81"/>
            <rFont val="Tahoma"/>
            <family val="2"/>
          </rPr>
          <t xml:space="preserve">
Efaringstall fra TS tiltak 2022.</t>
        </r>
      </text>
    </comment>
  </commentList>
</comments>
</file>

<file path=xl/sharedStrings.xml><?xml version="1.0" encoding="utf-8"?>
<sst xmlns="http://schemas.openxmlformats.org/spreadsheetml/2006/main" count="332" uniqueCount="135">
  <si>
    <t>Antall før ombygging</t>
  </si>
  <si>
    <t>Levetid år</t>
  </si>
  <si>
    <t>Park</t>
  </si>
  <si>
    <t>Element</t>
  </si>
  <si>
    <t>Totalt</t>
  </si>
  <si>
    <t>Sluk og avløpssystemer [stk]</t>
  </si>
  <si>
    <t>Trær [stk]</t>
  </si>
  <si>
    <t>Gress [kvm]</t>
  </si>
  <si>
    <t>Søppelkasser [stk]</t>
  </si>
  <si>
    <t>Kantslått [løpemeter]</t>
  </si>
  <si>
    <t>Kantstein [løpemeter]</t>
  </si>
  <si>
    <t>Sykkelstativ [stk]</t>
  </si>
  <si>
    <t>Benker [stk]</t>
  </si>
  <si>
    <t>Skilt [stk]</t>
  </si>
  <si>
    <t>Øst</t>
  </si>
  <si>
    <t>Nord</t>
  </si>
  <si>
    <t>Vest</t>
  </si>
  <si>
    <t>Sentrum</t>
  </si>
  <si>
    <t>Drift</t>
  </si>
  <si>
    <t>Overvannsledninger [m]</t>
  </si>
  <si>
    <t>Grøfter [løpemeter]</t>
  </si>
  <si>
    <t>Gatevarme [kvm]</t>
  </si>
  <si>
    <t>Årlige differanse i drifts-
kostnader</t>
  </si>
  <si>
    <t>Årlige differanse i vedlikeholds-kostnader</t>
  </si>
  <si>
    <t>Antall etter ombygging</t>
  </si>
  <si>
    <t>Veidrift og vedlikehold</t>
  </si>
  <si>
    <t>Driftsorganisasjon</t>
  </si>
  <si>
    <t>Veidekker</t>
  </si>
  <si>
    <t>Vegetasjon</t>
  </si>
  <si>
    <t>El-teknisk</t>
  </si>
  <si>
    <t>Kategori</t>
  </si>
  <si>
    <t>Oppmerking</t>
  </si>
  <si>
    <t>Sykkeldrift</t>
  </si>
  <si>
    <t>Frekvens per år</t>
  </si>
  <si>
    <t>Belysning og elektro</t>
  </si>
  <si>
    <t>Trafikkstyring og analyse</t>
  </si>
  <si>
    <t>Prosjektnavn:</t>
  </si>
  <si>
    <t>Prosjektnummer:</t>
  </si>
  <si>
    <t>Parkeringsutstyr</t>
  </si>
  <si>
    <t>Drift, priser per tiltak</t>
  </si>
  <si>
    <t>Vedlikehold, priser per tiltak</t>
  </si>
  <si>
    <t>Annet</t>
  </si>
  <si>
    <t>Driftsområde</t>
  </si>
  <si>
    <t>År</t>
  </si>
  <si>
    <t>Gul midtlinje [løpemeter]</t>
  </si>
  <si>
    <t>Hvit linje [løpemeter]</t>
  </si>
  <si>
    <t>Fotgjengerfelt [løpemeter]</t>
  </si>
  <si>
    <t>Overtagelse til drift, år:</t>
  </si>
  <si>
    <t>Driftsseksjon</t>
  </si>
  <si>
    <t>Totale drifts- og vedlikeholdskostnader</t>
  </si>
  <si>
    <t xml:space="preserve">Beregningsark for drift - og vedlikeholdskostnader av investeringsprosjekter/tiltak </t>
  </si>
  <si>
    <t>Symboler [stk]</t>
  </si>
  <si>
    <t>Overvannsystemer</t>
  </si>
  <si>
    <t>Drifts- og vedlikeholdstiltak per seksjon:</t>
  </si>
  <si>
    <t>Validering</t>
  </si>
  <si>
    <t>Seksjon</t>
  </si>
  <si>
    <t>Drift- og vedlikeholdskostnader for veielementer</t>
  </si>
  <si>
    <t>Driftskostnader for tjenester</t>
  </si>
  <si>
    <t>Pris for drift - og vedlikehold av veielementer</t>
  </si>
  <si>
    <t>Indeksregulering (mot basisår 2021):</t>
  </si>
  <si>
    <t>Andre kontrakter</t>
  </si>
  <si>
    <t>Enhetskostnad i kr, drift</t>
  </si>
  <si>
    <t>Enhetskostnad i kr, vedlikehold</t>
  </si>
  <si>
    <t>Kommentar</t>
  </si>
  <si>
    <t>Signalanlegg [stk]</t>
  </si>
  <si>
    <t>Bussbommer [stk]</t>
  </si>
  <si>
    <t>Strømuttak, arrangement [stk]</t>
  </si>
  <si>
    <t>Ladestolper [stk]</t>
  </si>
  <si>
    <t>Tellepunkter [stk]</t>
  </si>
  <si>
    <t>Konstruksjon/utstyr</t>
  </si>
  <si>
    <t>Kjørelengde prioritert nett km</t>
  </si>
  <si>
    <t>Asfalt, boligvei [kvm]</t>
  </si>
  <si>
    <t>Asfalt, hovedvei [kvm]</t>
  </si>
  <si>
    <t>Asfalt, fortau/gangvei [kvm]</t>
  </si>
  <si>
    <t>Rød asfalt, sykkelfelt [kvm]</t>
  </si>
  <si>
    <t>Parkeringsautomat [stk]</t>
  </si>
  <si>
    <t>Hovedkategori</t>
  </si>
  <si>
    <t>Bydel:</t>
  </si>
  <si>
    <t>Gatenavn/lokasjon:</t>
  </si>
  <si>
    <t>1500 per 50 meter</t>
  </si>
  <si>
    <t>Bydel</t>
  </si>
  <si>
    <t>Alna</t>
  </si>
  <si>
    <t>Bjerke</t>
  </si>
  <si>
    <t>Frogner</t>
  </si>
  <si>
    <t>Gamle Oslo</t>
  </si>
  <si>
    <t>Grorud</t>
  </si>
  <si>
    <t>Grünerløkka</t>
  </si>
  <si>
    <t>Nordre Aker</t>
  </si>
  <si>
    <t>Nordstrand</t>
  </si>
  <si>
    <t>Sagene</t>
  </si>
  <si>
    <t>St.Hanshaugen</t>
  </si>
  <si>
    <t>Stovner</t>
  </si>
  <si>
    <t>Søndre Nordstrand</t>
  </si>
  <si>
    <t>Ullern</t>
  </si>
  <si>
    <t>Vestre Aker</t>
  </si>
  <si>
    <t>Østensjø</t>
  </si>
  <si>
    <t>Område:</t>
  </si>
  <si>
    <t>Område</t>
  </si>
  <si>
    <t>Fartsdumper [løpemeter]</t>
  </si>
  <si>
    <t>Totalt kjørelengde m</t>
  </si>
  <si>
    <t>Gange, sykkel, kollektiv</t>
  </si>
  <si>
    <t>&lt;Skriv her&gt;</t>
  </si>
  <si>
    <t>Vårrengjøring [m]</t>
  </si>
  <si>
    <t>Drift er vask av skilt. Vedlikehold er utskiftning.</t>
  </si>
  <si>
    <t>Drift er fiksing/lapping. Vedlikehold er re-etablering.</t>
  </si>
  <si>
    <t xml:space="preserve">Drift er? </t>
  </si>
  <si>
    <t>VK1</t>
  </si>
  <si>
    <t>VK2</t>
  </si>
  <si>
    <r>
      <t>Drift er …? Vedlikehold er utskiftning.</t>
    </r>
    <r>
      <rPr>
        <sz val="11"/>
        <color rgb="FFFF0000"/>
        <rFont val="Oslo Sans Office Normal"/>
        <scheme val="minor"/>
      </rPr>
      <t xml:space="preserve"> Petter</t>
    </r>
  </si>
  <si>
    <t>Reinvestering: 10 000 for fundamentering + 50 000 for ny automat. (Mail Johnny 16.03.23)</t>
  </si>
  <si>
    <t>Reidun Hauken 17.03.23</t>
  </si>
  <si>
    <t>Per Laudal 17.03.23</t>
  </si>
  <si>
    <t>Drift er tømming. Vedlikehold er utskiftning.</t>
  </si>
  <si>
    <t>Betongheller [kvm]</t>
  </si>
  <si>
    <t>Opphøyd gangfelt  [løpemeter]</t>
  </si>
  <si>
    <t>Prisøkning fra kontraktsstart</t>
  </si>
  <si>
    <t>Granitt, fortau [løpemeter]</t>
  </si>
  <si>
    <t>Oppmerkingskontrakten, 17-BYM-2019. Kun re-oppmerking og derfor kun vedlikeholdskost.</t>
  </si>
  <si>
    <t>Taktil merking/ledelinjer [kvm]</t>
  </si>
  <si>
    <t>Belysningsanlegg [stk]</t>
  </si>
  <si>
    <t>Driftet BYM anlegg/strekning før ombygging?</t>
  </si>
  <si>
    <t>Driftet tidligere?</t>
  </si>
  <si>
    <t>Ja</t>
  </si>
  <si>
    <t>Nei</t>
  </si>
  <si>
    <t>Brostein [kvm]</t>
  </si>
  <si>
    <t>Drift er sluktømming.  Vedlikehold er utskiftning/rehabilitering, hentet fra Asfaltkontrakten.</t>
  </si>
  <si>
    <t>Sist revidert:</t>
  </si>
  <si>
    <t>Renhold [m]</t>
  </si>
  <si>
    <t>Vinterdrift [m]</t>
  </si>
  <si>
    <t>Utledet av evauleringssummer per kontrakt</t>
  </si>
  <si>
    <t>NB! Stkpris i asfaltkontrakt er 54 547</t>
  </si>
  <si>
    <t>Fastpris delt på antall meter per område.</t>
  </si>
  <si>
    <t>Asfaltkontrak. Estimert 100 kg asfalt per kvm.</t>
  </si>
  <si>
    <t>Asfaltkontrakt.</t>
  </si>
  <si>
    <t>Per Laudal 17.03.23.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</si>
</sst>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(* #,##0.00_);_(* \(#,##0.00\);_(* &quot;-&quot;??_);_(@_)"/>
    <numFmt numFmtId="167" formatCode="_ &quot;kr&quot;\ * #,##0.00_ ;_ &quot;kr&quot;\ * \-#,##0.00_ ;_ &quot;kr&quot;\ * &quot;-&quot;??_ ;_ @_ "/>
    <numFmt numFmtId="168" formatCode="_-* #,##0_-;\-* #,##0_-;_-* &quot;-&quot;??_-;_-@_-"/>
    <numFmt numFmtId="169" formatCode="_ * #,##0.0_ ;_ * \-#,##0.0_ ;_ * &quot;-&quot;??_ ;_ @_ "/>
  </numFmts>
  <fonts count="21">
    <font>
      <sz val="11"/>
      <color theme="1"/>
      <name val="Oslo Sans Office Normal"/>
      <family val="2"/>
      <scheme val="minor"/>
    </font>
    <font>
      <b/>
      <sz val="11"/>
      <color theme="1"/>
      <name val="Oslo Sans Office Normal"/>
      <family val="2"/>
      <scheme val="minor"/>
    </font>
    <font>
      <sz val="11"/>
      <color theme="1"/>
      <name val="Oslo Sans Office Norm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Oslo Sans Office Normal"/>
      <scheme val="minor"/>
    </font>
    <font>
      <sz val="11"/>
      <color rgb="FFFF0000"/>
      <name val="Oslo Sans Office Normal"/>
      <family val="2"/>
      <scheme val="minor"/>
    </font>
    <font>
      <sz val="10"/>
      <name val="Arial"/>
      <family val="2"/>
    </font>
    <font>
      <sz val="11"/>
      <name val="Oslo Sans Office Normal"/>
      <family val="2"/>
      <scheme val="minor"/>
    </font>
    <font>
      <sz val="10"/>
      <name val="Arial"/>
      <family val="2"/>
    </font>
    <font>
      <b/>
      <sz val="11"/>
      <color theme="1"/>
      <name val="Oslo Sans Office Normal"/>
      <scheme val="minor"/>
    </font>
    <font>
      <sz val="11"/>
      <color rgb="FFFF0000"/>
      <name val="Oslo Sans Office Normal"/>
      <scheme val="minor"/>
    </font>
    <font>
      <b/>
      <sz val="16"/>
      <color theme="1"/>
      <name val="Oslo Sans Office Normal"/>
      <scheme val="minor"/>
    </font>
    <font>
      <sz val="10"/>
      <color theme="1"/>
      <name val="Oslo Sans Office Normal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Oslo Sans Office Normal"/>
      <scheme val="minor"/>
    </font>
    <font>
      <sz val="11"/>
      <color theme="8"/>
      <name val="Oslo Sans Office Normal"/>
      <scheme val="minor"/>
    </font>
    <font>
      <b/>
      <sz val="14"/>
      <color theme="1"/>
      <name val="Oslo Sans Office Normal"/>
      <scheme val="minor"/>
    </font>
    <font>
      <i/>
      <sz val="11"/>
      <color theme="1"/>
      <name val="Oslo Sans Office Normal"/>
      <scheme val="minor"/>
    </font>
    <font>
      <b/>
      <i/>
      <sz val="11"/>
      <color theme="1"/>
      <name val="Oslo Sans Office Normal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4">
    <xf numFmtId="0" fontId="0" fillId="0" borderId="0" xfId="0"/>
    <xf numFmtId="10" fontId="0" fillId="0" borderId="0" xfId="0" applyNumberFormat="1"/>
    <xf numFmtId="0" fontId="10" fillId="0" borderId="2" xfId="0" applyFont="1" applyBorder="1"/>
    <xf numFmtId="0" fontId="0" fillId="0" borderId="2" xfId="0" applyBorder="1"/>
    <xf numFmtId="0" fontId="1" fillId="5" borderId="2" xfId="0" applyFont="1" applyFill="1" applyBorder="1" applyAlignment="1">
      <alignment horizontal="center"/>
    </xf>
    <xf numFmtId="168" fontId="0" fillId="0" borderId="2" xfId="5" applyNumberFormat="1" applyFont="1" applyBorder="1"/>
    <xf numFmtId="165" fontId="0" fillId="7" borderId="2" xfId="1" applyNumberFormat="1" applyFont="1" applyFill="1" applyBorder="1"/>
    <xf numFmtId="165" fontId="0" fillId="0" borderId="0" xfId="0" applyNumberFormat="1"/>
    <xf numFmtId="0" fontId="12" fillId="3" borderId="0" xfId="0" applyFont="1" applyFill="1" applyBorder="1"/>
    <xf numFmtId="0" fontId="10" fillId="3" borderId="0" xfId="0" applyFont="1" applyFill="1" applyBorder="1"/>
    <xf numFmtId="0" fontId="10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0" fillId="4" borderId="2" xfId="0" applyFont="1" applyFill="1" applyBorder="1" applyAlignment="1">
      <alignment horizontal="centerContinuous"/>
    </xf>
    <xf numFmtId="165" fontId="10" fillId="0" borderId="0" xfId="1" applyNumberFormat="1" applyFont="1" applyFill="1" applyBorder="1"/>
    <xf numFmtId="0" fontId="10" fillId="4" borderId="2" xfId="0" applyFont="1" applyFill="1" applyBorder="1"/>
    <xf numFmtId="165" fontId="10" fillId="4" borderId="2" xfId="1" applyNumberFormat="1" applyFont="1" applyFill="1" applyBorder="1"/>
    <xf numFmtId="0" fontId="0" fillId="3" borderId="2" xfId="0" applyFill="1" applyBorder="1"/>
    <xf numFmtId="165" fontId="0" fillId="3" borderId="2" xfId="1" applyNumberFormat="1" applyFont="1" applyFill="1" applyBorder="1"/>
    <xf numFmtId="0" fontId="10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0" fillId="0" borderId="2" xfId="1" applyNumberFormat="1" applyFont="1" applyBorder="1"/>
    <xf numFmtId="165" fontId="10" fillId="0" borderId="2" xfId="1" applyNumberFormat="1" applyFont="1" applyBorder="1"/>
    <xf numFmtId="168" fontId="10" fillId="6" borderId="2" xfId="5" applyNumberFormat="1" applyFont="1" applyFill="1" applyBorder="1"/>
    <xf numFmtId="0" fontId="10" fillId="8" borderId="2" xfId="0" applyFont="1" applyFill="1" applyBorder="1" applyAlignment="1">
      <alignment horizontal="center" wrapText="1"/>
    </xf>
    <xf numFmtId="9" fontId="0" fillId="6" borderId="2" xfId="0" applyNumberFormat="1" applyFill="1" applyBorder="1" applyAlignment="1">
      <alignment horizontal="center"/>
    </xf>
    <xf numFmtId="165" fontId="0" fillId="0" borderId="2" xfId="1" applyNumberFormat="1" applyFont="1" applyFill="1" applyBorder="1"/>
    <xf numFmtId="165" fontId="0" fillId="11" borderId="2" xfId="1" applyNumberFormat="1" applyFont="1" applyFill="1" applyBorder="1"/>
    <xf numFmtId="44" fontId="0" fillId="3" borderId="2" xfId="0" applyNumberFormat="1" applyFill="1" applyBorder="1"/>
    <xf numFmtId="169" fontId="0" fillId="11" borderId="2" xfId="1" applyNumberFormat="1" applyFont="1" applyFill="1" applyBorder="1"/>
    <xf numFmtId="164" fontId="0" fillId="11" borderId="2" xfId="1" applyNumberFormat="1" applyFont="1" applyFill="1" applyBorder="1"/>
    <xf numFmtId="165" fontId="0" fillId="12" borderId="2" xfId="1" applyNumberFormat="1" applyFont="1" applyFill="1" applyBorder="1"/>
    <xf numFmtId="0" fontId="13" fillId="0" borderId="2" xfId="0" applyFont="1" applyBorder="1" applyAlignment="1">
      <alignment wrapText="1"/>
    </xf>
    <xf numFmtId="169" fontId="0" fillId="0" borderId="2" xfId="1" applyNumberFormat="1" applyFont="1" applyFill="1" applyBorder="1"/>
    <xf numFmtId="0" fontId="10" fillId="4" borderId="5" xfId="0" applyFont="1" applyFill="1" applyBorder="1" applyAlignment="1">
      <alignment horizontal="center"/>
    </xf>
    <xf numFmtId="165" fontId="6" fillId="3" borderId="2" xfId="1" applyNumberFormat="1" applyFont="1" applyFill="1" applyBorder="1"/>
    <xf numFmtId="165" fontId="8" fillId="11" borderId="2" xfId="1" applyNumberFormat="1" applyFont="1" applyFill="1" applyBorder="1"/>
    <xf numFmtId="165" fontId="0" fillId="13" borderId="2" xfId="1" applyNumberFormat="1" applyFont="1" applyFill="1" applyBorder="1"/>
    <xf numFmtId="165" fontId="6" fillId="0" borderId="2" xfId="1" applyNumberFormat="1" applyFont="1" applyFill="1" applyBorder="1"/>
    <xf numFmtId="0" fontId="16" fillId="7" borderId="2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wrapText="1"/>
    </xf>
    <xf numFmtId="0" fontId="16" fillId="7" borderId="0" xfId="0" applyFont="1" applyFill="1"/>
    <xf numFmtId="0" fontId="10" fillId="4" borderId="8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quotePrefix="1" applyFont="1" applyFill="1" applyBorder="1"/>
    <xf numFmtId="0" fontId="5" fillId="3" borderId="0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/>
    <xf numFmtId="0" fontId="5" fillId="9" borderId="0" xfId="0" applyFont="1" applyFill="1" applyBorder="1"/>
    <xf numFmtId="0" fontId="5" fillId="9" borderId="14" xfId="0" applyFont="1" applyFill="1" applyBorder="1"/>
    <xf numFmtId="0" fontId="5" fillId="2" borderId="10" xfId="0" applyFont="1" applyFill="1" applyBorder="1" applyProtection="1">
      <protection locked="0"/>
    </xf>
    <xf numFmtId="165" fontId="5" fillId="9" borderId="2" xfId="1" applyNumberFormat="1" applyFont="1" applyFill="1" applyBorder="1"/>
    <xf numFmtId="0" fontId="5" fillId="7" borderId="13" xfId="0" applyFont="1" applyFill="1" applyBorder="1"/>
    <xf numFmtId="0" fontId="5" fillId="7" borderId="15" xfId="0" applyFont="1" applyFill="1" applyBorder="1"/>
    <xf numFmtId="0" fontId="5" fillId="3" borderId="1" xfId="0" applyFont="1" applyFill="1" applyBorder="1" applyProtection="1">
      <protection locked="0"/>
    </xf>
    <xf numFmtId="0" fontId="5" fillId="9" borderId="13" xfId="0" applyFont="1" applyFill="1" applyBorder="1"/>
    <xf numFmtId="0" fontId="5" fillId="9" borderId="15" xfId="0" applyFont="1" applyFill="1" applyBorder="1"/>
    <xf numFmtId="0" fontId="5" fillId="7" borderId="8" xfId="0" applyFont="1" applyFill="1" applyBorder="1" applyProtection="1">
      <protection locked="0"/>
    </xf>
    <xf numFmtId="0" fontId="16" fillId="7" borderId="1" xfId="0" applyFont="1" applyFill="1" applyBorder="1"/>
    <xf numFmtId="0" fontId="5" fillId="9" borderId="1" xfId="0" applyFont="1" applyFill="1" applyBorder="1"/>
    <xf numFmtId="0" fontId="5" fillId="7" borderId="1" xfId="0" applyFont="1" applyFill="1" applyBorder="1"/>
    <xf numFmtId="0" fontId="5" fillId="7" borderId="1" xfId="0" applyFont="1" applyFill="1" applyBorder="1" applyProtection="1">
      <protection locked="0"/>
    </xf>
    <xf numFmtId="0" fontId="5" fillId="7" borderId="16" xfId="0" applyFont="1" applyFill="1" applyBorder="1"/>
    <xf numFmtId="0" fontId="5" fillId="7" borderId="2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7" borderId="2" xfId="0" applyFont="1" applyFill="1" applyBorder="1"/>
    <xf numFmtId="0" fontId="10" fillId="10" borderId="2" xfId="0" applyFont="1" applyFill="1" applyBorder="1"/>
    <xf numFmtId="165" fontId="10" fillId="10" borderId="2" xfId="0" applyNumberFormat="1" applyFont="1" applyFill="1" applyBorder="1"/>
    <xf numFmtId="0" fontId="5" fillId="6" borderId="2" xfId="0" applyFont="1" applyFill="1" applyBorder="1"/>
    <xf numFmtId="0" fontId="17" fillId="3" borderId="0" xfId="0" applyFont="1" applyFill="1" applyBorder="1"/>
    <xf numFmtId="165" fontId="5" fillId="6" borderId="2" xfId="1" applyNumberFormat="1" applyFont="1" applyFill="1" applyBorder="1"/>
    <xf numFmtId="0" fontId="18" fillId="3" borderId="0" xfId="0" applyFont="1" applyFill="1" applyBorder="1"/>
    <xf numFmtId="0" fontId="5" fillId="3" borderId="2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14" borderId="2" xfId="0" applyFont="1" applyFill="1" applyBorder="1" applyProtection="1">
      <protection locked="0"/>
    </xf>
    <xf numFmtId="165" fontId="5" fillId="14" borderId="2" xfId="1" applyNumberFormat="1" applyFont="1" applyFill="1" applyBorder="1" applyProtection="1">
      <protection locked="0"/>
    </xf>
    <xf numFmtId="0" fontId="19" fillId="3" borderId="0" xfId="0" applyFont="1" applyFill="1" applyBorder="1"/>
    <xf numFmtId="0" fontId="5" fillId="8" borderId="2" xfId="0" applyFont="1" applyFill="1" applyBorder="1"/>
    <xf numFmtId="0" fontId="20" fillId="6" borderId="0" xfId="0" applyFont="1" applyFill="1" applyBorder="1"/>
    <xf numFmtId="17" fontId="19" fillId="6" borderId="0" xfId="0" applyNumberFormat="1" applyFont="1" applyFill="1" applyBorder="1" applyAlignment="1">
      <alignment horizontal="center"/>
    </xf>
    <xf numFmtId="0" fontId="20" fillId="3" borderId="0" xfId="0" applyFont="1" applyFill="1" applyBorder="1"/>
    <xf numFmtId="17" fontId="19" fillId="3" borderId="0" xfId="0" applyNumberFormat="1" applyFont="1" applyFill="1" applyBorder="1" applyAlignment="1">
      <alignment horizontal="center"/>
    </xf>
    <xf numFmtId="0" fontId="8" fillId="0" borderId="2" xfId="0" applyFont="1" applyFill="1" applyBorder="1"/>
    <xf numFmtId="169" fontId="0" fillId="11" borderId="2" xfId="0" applyNumberFormat="1" applyFill="1" applyBorder="1"/>
    <xf numFmtId="0" fontId="5" fillId="12" borderId="2" xfId="0" applyFont="1" applyFill="1" applyBorder="1"/>
    <xf numFmtId="0" fontId="10" fillId="7" borderId="4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</cellXfs>
  <cellStyles count="12">
    <cellStyle name="Komma" xfId="1" builtinId="3"/>
    <cellStyle name="Komma 2" xfId="4" xr:uid="{00000000-0005-0000-0000-000001000000}"/>
    <cellStyle name="Komma 2 2" xfId="10" xr:uid="{00000000-0005-0000-0000-000002000000}"/>
    <cellStyle name="Komma 3" xfId="5" xr:uid="{00000000-0005-0000-0000-000003000000}"/>
    <cellStyle name="Komma 4" xfId="7" xr:uid="{00000000-0005-0000-0000-000004000000}"/>
    <cellStyle name="Komma 5" xfId="9" xr:uid="{00000000-0005-0000-0000-000005000000}"/>
    <cellStyle name="Normal" xfId="0" builtinId="0"/>
    <cellStyle name="Normal 2" xfId="3" xr:uid="{00000000-0005-0000-0000-000007000000}"/>
    <cellStyle name="Normal 3" xfId="2" xr:uid="{00000000-0005-0000-0000-000008000000}"/>
    <cellStyle name="Normal 4" xfId="6" xr:uid="{00000000-0005-0000-0000-000009000000}"/>
    <cellStyle name="Prosent 2" xfId="8" xr:uid="{00000000-0005-0000-0000-00000A000000}"/>
    <cellStyle name="Valuta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190499</xdr:colOff>
      <xdr:row>3</xdr:row>
      <xdr:rowOff>190499</xdr:rowOff>
    </xdr:from>
    <xdr:ext cx="4155282" cy="257175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399EF67-6E70-4724-B03F-DCC0D3C5A114}"/>
            </a:ext>
          </a:extLst>
        </xdr:cNvPr>
        <xdr:cNvSpPr txBox="1"/>
      </xdr:nvSpPr>
      <xdr:spPr>
        <a:xfrm>
          <a:off x="13132593" y="416718"/>
          <a:ext cx="4155282" cy="2571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Overflow="clip" horzOverflow="clip" wrap="square" rtlCol="0" anchor="t">
          <a:noAutofit/>
        </a:bodyPr>
        <a:lstStyle/>
        <a:p>
          <a:pPr algn="l"/>
          <a:r>
            <a:rPr lang="nb-NO" sz="1100" dirty="0"/>
            <a:t>1. Fyll inn antall stk veielementer før og etter ombygging/overtagelse.</a:t>
          </a:r>
        </a:p>
        <a:p>
          <a:pPr algn="l"/>
          <a:endParaRPr lang="nb-NO" sz="1100" dirty="0"/>
        </a:p>
        <a:p>
          <a:pPr algn="l"/>
          <a:r>
            <a:rPr lang="nb-NO" sz="1100" dirty="0"/>
            <a:t>2. Elementer</a:t>
          </a:r>
          <a:r>
            <a:rPr lang="nb-NO" sz="1100" baseline="0" dirty="0"/>
            <a:t> som ikke er i listen legges til under kategori "annet". Åpne grupperingen av kolonne J og fyll inn:</a:t>
          </a:r>
        </a:p>
        <a:p>
          <a:pPr lvl="1" algn="l"/>
          <a:r>
            <a:rPr lang="nb-NO" sz="1050" baseline="0" dirty="0"/>
            <a:t>- Frekvens: Hvor ofte utføres driftstiltak per år</a:t>
          </a:r>
        </a:p>
        <a:p>
          <a:pPr lvl="1" algn="l"/>
          <a:r>
            <a:rPr lang="nb-NO" sz="1050" baseline="0" dirty="0"/>
            <a:t>- Levetid: Hva er forventet levetid på utstyret før det må skiftes ut?</a:t>
          </a:r>
        </a:p>
        <a:p>
          <a:pPr lvl="1" algn="l"/>
          <a:r>
            <a:rPr lang="nb-NO" sz="1050" baseline="0" dirty="0"/>
            <a:t>- Enhetskostnad drift: Hva er driftskostnad per gang, f.eks kostnad per søppeltømming?</a:t>
          </a:r>
        </a:p>
        <a:p>
          <a:pPr lvl="1" algn="l"/>
          <a:r>
            <a:rPr lang="nb-NO" sz="1050" baseline="0" dirty="0"/>
            <a:t>- Enhetskostnad vedlikehold: Hva koster det å re-investere/skifte ut elementet?</a:t>
          </a:r>
          <a:endParaRPr lang="nb-NO" sz="1050" dirty="0"/>
        </a:p>
      </xdr:txBody>
    </xdr:sp>
    <xdr:clientData/>
  </xdr:oneCellAnchor>
</xdr:wsDr>
</file>

<file path=xl/theme/theme1.xml><?xml version="1.0" encoding="utf-8"?>
<a:theme xmlns:a="http://schemas.openxmlformats.org/drawingml/2006/main" name="Oslo mal">
  <a:themeElements>
    <a:clrScheme name="Oslo">
      <a:dk1>
        <a:srgbClr val="000000"/>
      </a:dk1>
      <a:lt1>
        <a:srgbClr val="FFFFFF"/>
      </a:lt1>
      <a:dk2>
        <a:srgbClr val="2A2859"/>
      </a:dk2>
      <a:lt2>
        <a:srgbClr val="F8F0DD"/>
      </a:lt2>
      <a:accent1>
        <a:srgbClr val="034B45"/>
      </a:accent1>
      <a:accent2>
        <a:srgbClr val="4EF8B6"/>
      </a:accent2>
      <a:accent3>
        <a:srgbClr val="C7F6C9"/>
      </a:accent3>
      <a:accent4>
        <a:srgbClr val="6FE9FF"/>
      </a:accent4>
      <a:accent5>
        <a:srgbClr val="FF8274"/>
      </a:accent5>
      <a:accent6>
        <a:srgbClr val="F9C66B"/>
      </a:accent6>
      <a:hlink>
        <a:srgbClr val="000000"/>
      </a:hlink>
      <a:folHlink>
        <a:srgbClr val="000000"/>
      </a:folHlink>
    </a:clrScheme>
    <a:fontScheme name="Test">
      <a:majorFont>
        <a:latin typeface="Oslo Sans Office Normal"/>
        <a:ea typeface=""/>
        <a:cs typeface=""/>
      </a:majorFont>
      <a:minorFont>
        <a:latin typeface="Oslo Sans Office Norm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algn="l"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Oslo_2019_basic.potx" id="{6638DBF3-01EF-9D48-9287-8DEF6339D1DD}" vid="{0A37711F-0EDD-C449-98AC-C8327000A62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GridLines="0" tabSelected="1" topLeftCell="A39" zoomScale="80" zoomScaleNormal="80" workbookViewId="0">
      <selection activeCell="B51" sqref="B51"/>
    </sheetView>
  </sheetViews>
  <sheetFormatPr baseColWidth="10" defaultColWidth="11.5" defaultRowHeight="14" outlineLevelCol="1"/>
  <cols>
    <col min="1" max="1" width="30.08203125" style="44" customWidth="1"/>
    <col min="2" max="2" width="31.33203125" style="44" customWidth="1"/>
    <col min="3" max="3" width="23.33203125" style="44" customWidth="1" outlineLevel="1"/>
    <col min="4" max="4" width="15.75" style="44" customWidth="1"/>
    <col min="5" max="5" width="19.25" style="44" customWidth="1"/>
    <col min="6" max="6" width="16.25" style="44" hidden="1" customWidth="1" outlineLevel="1"/>
    <col min="7" max="7" width="13" style="44" hidden="1" customWidth="1" outlineLevel="1"/>
    <col min="8" max="8" width="17.33203125" style="44" hidden="1" customWidth="1" outlineLevel="1"/>
    <col min="9" max="9" width="18" style="44" hidden="1" customWidth="1" outlineLevel="1"/>
    <col min="10" max="10" width="18.33203125" style="44" customWidth="1" collapsed="1"/>
    <col min="11" max="11" width="19.83203125" style="44" customWidth="1"/>
    <col min="12" max="12" width="11.5" style="44"/>
    <col min="13" max="13" width="16.58203125" style="44" customWidth="1"/>
    <col min="14" max="16384" width="11.5" style="44"/>
  </cols>
  <sheetData>
    <row r="1" spans="1:13" ht="14.5">
      <c r="A1" s="82" t="s">
        <v>126</v>
      </c>
      <c r="B1" s="83">
        <v>44986</v>
      </c>
    </row>
    <row r="2" spans="1:13" ht="14.5">
      <c r="A2" s="84"/>
      <c r="B2" s="85"/>
    </row>
    <row r="3" spans="1:13" ht="18">
      <c r="A3" s="75" t="s">
        <v>50</v>
      </c>
    </row>
    <row r="4" spans="1:13">
      <c r="A4" s="9"/>
    </row>
    <row r="5" spans="1:13">
      <c r="A5" s="9" t="s">
        <v>36</v>
      </c>
      <c r="B5" s="45"/>
    </row>
    <row r="6" spans="1:13">
      <c r="A6" s="9" t="s">
        <v>37</v>
      </c>
      <c r="B6" s="46"/>
      <c r="K6" s="47"/>
    </row>
    <row r="7" spans="1:13">
      <c r="A7" s="9" t="s">
        <v>47</v>
      </c>
      <c r="B7" s="48"/>
      <c r="K7" s="47"/>
    </row>
    <row r="8" spans="1:13">
      <c r="A8" s="9" t="s">
        <v>78</v>
      </c>
      <c r="B8" s="46"/>
    </row>
    <row r="9" spans="1:13">
      <c r="A9" s="9" t="s">
        <v>77</v>
      </c>
      <c r="B9" s="46" t="s">
        <v>84</v>
      </c>
      <c r="K9" s="47"/>
    </row>
    <row r="10" spans="1:13">
      <c r="A10" s="9" t="s">
        <v>96</v>
      </c>
      <c r="B10" s="49" t="str">
        <f>INDEX(Validering!D:D,MATCH(Beregningsark!B9,Validering!C:C,0))</f>
        <v>Sentrum</v>
      </c>
      <c r="K10" s="47"/>
    </row>
    <row r="11" spans="1:13" ht="28">
      <c r="A11" s="41" t="s">
        <v>120</v>
      </c>
      <c r="B11" s="50" t="s">
        <v>122</v>
      </c>
    </row>
    <row r="12" spans="1:13">
      <c r="A12" s="9"/>
      <c r="B12" s="51"/>
    </row>
    <row r="13" spans="1:13" ht="14.5">
      <c r="A13" s="84"/>
      <c r="B13" s="85"/>
      <c r="J13" s="47"/>
      <c r="M13" s="14"/>
    </row>
    <row r="14" spans="1:13" ht="42">
      <c r="A14" s="10" t="s">
        <v>30</v>
      </c>
      <c r="B14" s="11" t="s">
        <v>3</v>
      </c>
      <c r="C14" s="11" t="s">
        <v>48</v>
      </c>
      <c r="D14" s="11" t="s">
        <v>0</v>
      </c>
      <c r="E14" s="11" t="s">
        <v>24</v>
      </c>
      <c r="F14" s="11" t="s">
        <v>33</v>
      </c>
      <c r="G14" s="11" t="s">
        <v>1</v>
      </c>
      <c r="H14" s="11" t="s">
        <v>61</v>
      </c>
      <c r="I14" s="11" t="s">
        <v>62</v>
      </c>
      <c r="J14" s="11" t="s">
        <v>22</v>
      </c>
      <c r="K14" s="11" t="s">
        <v>23</v>
      </c>
    </row>
    <row r="15" spans="1:13">
      <c r="A15" s="95" t="s">
        <v>27</v>
      </c>
      <c r="B15" s="52" t="s">
        <v>72</v>
      </c>
      <c r="C15" s="53" t="s">
        <v>25</v>
      </c>
      <c r="D15" s="54">
        <v>0</v>
      </c>
      <c r="E15" s="54">
        <v>0</v>
      </c>
      <c r="F15" s="78">
        <f>INDEX(Priser!D:D,MATCH(Beregningsark!$B15,Priser!$B:$B,0))</f>
        <v>0.05</v>
      </c>
      <c r="G15" s="78">
        <f>INDEX(Priser!E:E,MATCH(Beregningsark!$B15,Priser!$B:$B,0))</f>
        <v>15</v>
      </c>
      <c r="H15" s="79">
        <f>INDEX(Priser!F:F,MATCH(Beregningsark!$B15,Priser!$B:$B,0))</f>
        <v>383.42149999999998</v>
      </c>
      <c r="I15" s="79">
        <f>INDEX(Priser!G:G,MATCH(Beregningsark!$B15,Priser!$B:$B,0))</f>
        <v>383.42149999999998</v>
      </c>
      <c r="J15" s="55">
        <f>IFERROR((INDEX(Priser!F:F,MATCH(Beregningsark!$B:$B,Priser!$B:$B,0))*INDEX(Priser!D:D,MATCH(Beregningsark!$B:$B,Priser!$B:$B,0)))*($E15-$D15),0)</f>
        <v>0</v>
      </c>
      <c r="K15" s="55">
        <f>IFERROR((INDEX(Priser!G:G,MATCH(Beregningsark!$B:$B,Priser!$B:$B,0))/INDEX(Priser!E:E,MATCH(Beregningsark!$B:$B,Priser!$B:$B,0)))*($E15-$D15),0)</f>
        <v>0</v>
      </c>
    </row>
    <row r="16" spans="1:13">
      <c r="A16" s="96"/>
      <c r="B16" s="56" t="s">
        <v>71</v>
      </c>
      <c r="C16" s="57" t="s">
        <v>25</v>
      </c>
      <c r="D16" s="58"/>
      <c r="E16" s="58">
        <v>900</v>
      </c>
      <c r="F16" s="78">
        <f>INDEX(Priser!D:D,MATCH(Beregningsark!$B16,Priser!$B:$B,0))</f>
        <v>0.03</v>
      </c>
      <c r="G16" s="78">
        <f>INDEX(Priser!E:E,MATCH(Beregningsark!$B16,Priser!$B:$B,0))</f>
        <v>20</v>
      </c>
      <c r="H16" s="79">
        <f>INDEX(Priser!F:F,MATCH(Beregningsark!$B16,Priser!$B:$B,0))</f>
        <v>336.07733333333334</v>
      </c>
      <c r="I16" s="79">
        <f>INDEX(Priser!G:G,MATCH(Beregningsark!$B16,Priser!$B:$B,0))</f>
        <v>336.07733333333334</v>
      </c>
      <c r="J16" s="55">
        <f>IFERROR((INDEX(Priser!F:F,MATCH(Beregningsark!$B:$B,Priser!$B:$B,0))*INDEX(Priser!D:D,MATCH(Beregningsark!$B:$B,Priser!$B:$B,0)))*($E16-$D16),0)</f>
        <v>9074.0879999999997</v>
      </c>
      <c r="K16" s="55">
        <f>IFERROR((INDEX(Priser!G:G,MATCH(Beregningsark!$B:$B,Priser!$B:$B,0))/INDEX(Priser!E:E,MATCH(Beregningsark!$B:$B,Priser!$B:$B,0)))*($E16-$D16),0)</f>
        <v>15123.480000000001</v>
      </c>
    </row>
    <row r="17" spans="1:11">
      <c r="A17" s="96"/>
      <c r="B17" s="59" t="s">
        <v>73</v>
      </c>
      <c r="C17" s="60" t="s">
        <v>25</v>
      </c>
      <c r="D17" s="58"/>
      <c r="E17" s="58">
        <v>650</v>
      </c>
      <c r="F17" s="78">
        <f>INDEX(Priser!D:D,MATCH(Beregningsark!$B17,Priser!$B:$B,0))</f>
        <v>0.01</v>
      </c>
      <c r="G17" s="78">
        <f>INDEX(Priser!E:E,MATCH(Beregningsark!$B17,Priser!$B:$B,0))</f>
        <v>25</v>
      </c>
      <c r="H17" s="79">
        <f>INDEX(Priser!F:F,MATCH(Beregningsark!$B17,Priser!$B:$B,0))</f>
        <v>309.82850000000002</v>
      </c>
      <c r="I17" s="79">
        <f>INDEX(Priser!G:G,MATCH(Beregningsark!$B17,Priser!$B:$B,0))</f>
        <v>309.82850000000002</v>
      </c>
      <c r="J17" s="55">
        <f>IFERROR((INDEX(Priser!F:F,MATCH(Beregningsark!$B:$B,Priser!$B:$B,0))*INDEX(Priser!D:D,MATCH(Beregningsark!$B:$B,Priser!$B:$B,0)))*($E17-$D17),0)</f>
        <v>2013.88525</v>
      </c>
      <c r="K17" s="55">
        <f>IFERROR((INDEX(Priser!G:G,MATCH(Beregningsark!$B:$B,Priser!$B:$B,0))/INDEX(Priser!E:E,MATCH(Beregningsark!$B:$B,Priser!$B:$B,0)))*($E17-$D17),0)</f>
        <v>8055.5410000000002</v>
      </c>
    </row>
    <row r="18" spans="1:11">
      <c r="A18" s="96"/>
      <c r="B18" s="56" t="s">
        <v>124</v>
      </c>
      <c r="C18" s="57" t="s">
        <v>25</v>
      </c>
      <c r="D18" s="58">
        <v>0</v>
      </c>
      <c r="E18" s="58">
        <v>0</v>
      </c>
      <c r="F18" s="78">
        <f>INDEX(Priser!D:D,MATCH(Beregningsark!$B18,Priser!$B:$B,0))</f>
        <v>0.15</v>
      </c>
      <c r="G18" s="78">
        <f>INDEX(Priser!E:E,MATCH(Beregningsark!$B18,Priser!$B:$B,0))</f>
        <v>15</v>
      </c>
      <c r="H18" s="79">
        <f>INDEX(Priser!F:F,MATCH(Beregningsark!$B18,Priser!$B:$B,0))</f>
        <v>961.18000000000006</v>
      </c>
      <c r="I18" s="79">
        <f>INDEX(Priser!G:G,MATCH(Beregningsark!$B18,Priser!$B:$B,0))</f>
        <v>961.18000000000006</v>
      </c>
      <c r="J18" s="55">
        <f>IFERROR((INDEX(Priser!F:F,MATCH(Beregningsark!$B:$B,Priser!$B:$B,0))*INDEX(Priser!D:D,MATCH(Beregningsark!$B:$B,Priser!$B:$B,0)))*($E18-$D18),0)</f>
        <v>0</v>
      </c>
      <c r="K18" s="55">
        <f>IFERROR((INDEX(Priser!G:G,MATCH(Beregningsark!$B:$B,Priser!$B:$B,0))/INDEX(Priser!E:E,MATCH(Beregningsark!$B:$B,Priser!$B:$B,0)))*($E18-$D18),0)</f>
        <v>0</v>
      </c>
    </row>
    <row r="19" spans="1:11">
      <c r="A19" s="96"/>
      <c r="B19" s="59" t="s">
        <v>74</v>
      </c>
      <c r="C19" s="57" t="s">
        <v>32</v>
      </c>
      <c r="D19" s="58">
        <v>0</v>
      </c>
      <c r="E19" s="58">
        <v>0</v>
      </c>
      <c r="F19" s="78">
        <f>INDEX(Priser!D:D,MATCH(Beregningsark!$B19,Priser!$B:$B,0))</f>
        <v>0.15</v>
      </c>
      <c r="G19" s="78">
        <f>INDEX(Priser!E:E,MATCH(Beregningsark!$B19,Priser!$B:$B,0))</f>
        <v>15</v>
      </c>
      <c r="H19" s="79">
        <f>INDEX(Priser!F:F,MATCH(Beregningsark!$B19,Priser!$B:$B,0))</f>
        <v>511.23545000000001</v>
      </c>
      <c r="I19" s="79">
        <f>INDEX(Priser!G:G,MATCH(Beregningsark!$B19,Priser!$B:$B,0))</f>
        <v>511.23545000000001</v>
      </c>
      <c r="J19" s="55">
        <f>IFERROR((INDEX(Priser!F:F,MATCH(Beregningsark!$B:$B,Priser!$B:$B,0))*INDEX(Priser!D:D,MATCH(Beregningsark!$B:$B,Priser!$B:$B,0)))*($E19-$D19),0)</f>
        <v>0</v>
      </c>
      <c r="K19" s="55">
        <f>IFERROR((INDEX(Priser!G:G,MATCH(Beregningsark!$B:$B,Priser!$B:$B,0))/INDEX(Priser!E:E,MATCH(Beregningsark!$B:$B,Priser!$B:$B,0)))*($E19-$D19),0)</f>
        <v>0</v>
      </c>
    </row>
    <row r="20" spans="1:11">
      <c r="A20" s="96"/>
      <c r="B20" s="59" t="s">
        <v>10</v>
      </c>
      <c r="C20" s="57" t="s">
        <v>25</v>
      </c>
      <c r="D20" s="58">
        <v>0</v>
      </c>
      <c r="E20" s="58">
        <v>0</v>
      </c>
      <c r="F20" s="78">
        <f>INDEX(Priser!D:D,MATCH(Beregningsark!$B20,Priser!$B:$B,0))</f>
        <v>0.02</v>
      </c>
      <c r="G20" s="78">
        <f>INDEX(Priser!E:E,MATCH(Beregningsark!$B20,Priser!$B:$B,0))</f>
        <v>20</v>
      </c>
      <c r="H20" s="79">
        <f>INDEX(Priser!F:F,MATCH(Beregningsark!$B20,Priser!$B:$B,0))</f>
        <v>1178.4435000000001</v>
      </c>
      <c r="I20" s="79">
        <f>INDEX(Priser!G:G,MATCH(Beregningsark!$B20,Priser!$B:$B,0))</f>
        <v>1178.4435000000001</v>
      </c>
      <c r="J20" s="55">
        <f>IFERROR((INDEX(Priser!F:F,MATCH(Beregningsark!$B:$B,Priser!$B:$B,0))*INDEX(Priser!D:D,MATCH(Beregningsark!$B:$B,Priser!$B:$B,0)))*($E20-$D20),0)</f>
        <v>0</v>
      </c>
      <c r="K20" s="55">
        <f>IFERROR((INDEX(Priser!G:G,MATCH(Beregningsark!$B:$B,Priser!$B:$B,0))/INDEX(Priser!E:E,MATCH(Beregningsark!$B:$B,Priser!$B:$B,0)))*($E20-$D20),0)</f>
        <v>0</v>
      </c>
    </row>
    <row r="21" spans="1:11">
      <c r="A21" s="96"/>
      <c r="B21" s="59" t="s">
        <v>113</v>
      </c>
      <c r="C21" s="57" t="s">
        <v>25</v>
      </c>
      <c r="D21" s="58"/>
      <c r="E21" s="58">
        <v>0</v>
      </c>
      <c r="F21" s="78">
        <f>INDEX(Priser!D:D,MATCH(Beregningsark!$B21,Priser!$B:$B,0))</f>
        <v>0.15</v>
      </c>
      <c r="G21" s="78">
        <f>INDEX(Priser!E:E,MATCH(Beregningsark!$B21,Priser!$B:$B,0))</f>
        <v>15</v>
      </c>
      <c r="H21" s="79">
        <f>INDEX(Priser!F:F,MATCH(Beregningsark!$B21,Priser!$B:$B,0))</f>
        <v>735.02</v>
      </c>
      <c r="I21" s="79">
        <f>INDEX(Priser!G:G,MATCH(Beregningsark!$B21,Priser!$B:$B,0))</f>
        <v>735.02</v>
      </c>
      <c r="J21" s="55">
        <f>IFERROR((INDEX(Priser!F:F,MATCH(Beregningsark!$B:$B,Priser!$B:$B,0))*INDEX(Priser!D:D,MATCH(Beregningsark!$B:$B,Priser!$B:$B,0)))*($E21-$D21),0)</f>
        <v>0</v>
      </c>
      <c r="K21" s="55">
        <f>IFERROR((INDEX(Priser!G:G,MATCH(Beregningsark!$B:$B,Priser!$B:$B,0))/INDEX(Priser!E:E,MATCH(Beregningsark!$B:$B,Priser!$B:$B,0)))*($E21-$D21),0)</f>
        <v>0</v>
      </c>
    </row>
    <row r="22" spans="1:11">
      <c r="A22" s="96"/>
      <c r="B22" s="56" t="s">
        <v>116</v>
      </c>
      <c r="C22" s="57" t="s">
        <v>25</v>
      </c>
      <c r="D22" s="58">
        <v>0</v>
      </c>
      <c r="E22" s="58">
        <v>650</v>
      </c>
      <c r="F22" s="78">
        <f>INDEX(Priser!D:D,MATCH(Beregningsark!$B22,Priser!$B:$B,0))</f>
        <v>0.15</v>
      </c>
      <c r="G22" s="78">
        <f>INDEX(Priser!E:E,MATCH(Beregningsark!$B22,Priser!$B:$B,0))</f>
        <v>15</v>
      </c>
      <c r="H22" s="79">
        <f>INDEX(Priser!F:F,MATCH(Beregningsark!$B22,Priser!$B:$B,0))</f>
        <v>1800</v>
      </c>
      <c r="I22" s="79">
        <f>INDEX(Priser!G:G,MATCH(Beregningsark!$B22,Priser!$B:$B,0))</f>
        <v>1800</v>
      </c>
      <c r="J22" s="55">
        <f>IFERROR((INDEX(Priser!F:F,MATCH(Beregningsark!$B:$B,Priser!$B:$B,0))*INDEX(Priser!D:D,MATCH(Beregningsark!$B:$B,Priser!$B:$B,0)))*($E22-$D22),0)</f>
        <v>175500</v>
      </c>
      <c r="K22" s="55">
        <f>IFERROR((INDEX(Priser!G:G,MATCH(Beregningsark!$B:$B,Priser!$B:$B,0))/INDEX(Priser!E:E,MATCH(Beregningsark!$B:$B,Priser!$B:$B,0)))*($E22-$D22),0)</f>
        <v>78000</v>
      </c>
    </row>
    <row r="23" spans="1:11" ht="14.25" customHeight="1">
      <c r="A23" s="89" t="s">
        <v>31</v>
      </c>
      <c r="B23" s="59" t="s">
        <v>44</v>
      </c>
      <c r="C23" s="57" t="s">
        <v>25</v>
      </c>
      <c r="D23" s="58">
        <v>0</v>
      </c>
      <c r="E23" s="58">
        <v>0</v>
      </c>
      <c r="F23" s="78">
        <f>INDEX(Priser!D:D,MATCH(Beregningsark!$B23,Priser!$B:$B,0))</f>
        <v>0</v>
      </c>
      <c r="G23" s="78">
        <f>INDEX(Priser!E:E,MATCH(Beregningsark!$B23,Priser!$B:$B,0))</f>
        <v>7</v>
      </c>
      <c r="H23" s="79">
        <f>INDEX(Priser!F:F,MATCH(Beregningsark!$B23,Priser!$B:$B,0))</f>
        <v>0</v>
      </c>
      <c r="I23" s="79">
        <f>INDEX(Priser!G:G,MATCH(Beregningsark!$B23,Priser!$B:$B,0))</f>
        <v>32.966999999999999</v>
      </c>
      <c r="J23" s="55">
        <f>IFERROR((INDEX(Priser!F:F,MATCH(Beregningsark!$B:$B,Priser!$B:$B,0))*INDEX(Priser!D:D,MATCH(Beregningsark!$B:$B,Priser!$B:$B,0)))*($E23-$D23),0)</f>
        <v>0</v>
      </c>
      <c r="K23" s="55">
        <f>IFERROR((INDEX(Priser!G:G,MATCH(Beregningsark!$B:$B,Priser!$B:$B,0))/INDEX(Priser!E:E,MATCH(Beregningsark!$B:$B,Priser!$B:$B,0)))*($E23-$D23),0)</f>
        <v>0</v>
      </c>
    </row>
    <row r="24" spans="1:11" ht="14.25" customHeight="1">
      <c r="A24" s="90"/>
      <c r="B24" s="56" t="s">
        <v>45</v>
      </c>
      <c r="C24" s="57" t="s">
        <v>25</v>
      </c>
      <c r="D24" s="58">
        <v>0</v>
      </c>
      <c r="E24" s="58">
        <v>0</v>
      </c>
      <c r="F24" s="78">
        <f>INDEX(Priser!D:D,MATCH(Beregningsark!$B24,Priser!$B:$B,0))</f>
        <v>0</v>
      </c>
      <c r="G24" s="78">
        <f>INDEX(Priser!E:E,MATCH(Beregningsark!$B24,Priser!$B:$B,0))</f>
        <v>7</v>
      </c>
      <c r="H24" s="79">
        <f>INDEX(Priser!F:F,MATCH(Beregningsark!$B24,Priser!$B:$B,0))</f>
        <v>0</v>
      </c>
      <c r="I24" s="79">
        <f>INDEX(Priser!G:G,MATCH(Beregningsark!$B24,Priser!$B:$B,0))</f>
        <v>32.152999999999999</v>
      </c>
      <c r="J24" s="55">
        <f>IFERROR((INDEX(Priser!F:F,MATCH(Beregningsark!$B:$B,Priser!$B:$B,0))*INDEX(Priser!D:D,MATCH(Beregningsark!$B:$B,Priser!$B:$B,0)))*($E24-$D24),0)</f>
        <v>0</v>
      </c>
      <c r="K24" s="55">
        <f>IFERROR((INDEX(Priser!G:G,MATCH(Beregningsark!$B:$B,Priser!$B:$B,0))/INDEX(Priser!E:E,MATCH(Beregningsark!$B:$B,Priser!$B:$B,0)))*($E24-$D24),0)</f>
        <v>0</v>
      </c>
    </row>
    <row r="25" spans="1:11" ht="14.25" customHeight="1">
      <c r="A25" s="90"/>
      <c r="B25" s="59" t="s">
        <v>46</v>
      </c>
      <c r="C25" s="57" t="s">
        <v>25</v>
      </c>
      <c r="D25" s="58">
        <v>0</v>
      </c>
      <c r="E25" s="58">
        <v>0</v>
      </c>
      <c r="F25" s="78">
        <f>INDEX(Priser!D:D,MATCH(Beregningsark!$B25,Priser!$B:$B,0))</f>
        <v>0</v>
      </c>
      <c r="G25" s="78">
        <f>INDEX(Priser!E:E,MATCH(Beregningsark!$B25,Priser!$B:$B,0))</f>
        <v>5</v>
      </c>
      <c r="H25" s="79">
        <f>INDEX(Priser!F:F,MATCH(Beregningsark!$B25,Priser!$B:$B,0))</f>
        <v>0</v>
      </c>
      <c r="I25" s="79">
        <f>INDEX(Priser!G:G,MATCH(Beregningsark!$B25,Priser!$B:$B,0))</f>
        <v>106.227</v>
      </c>
      <c r="J25" s="55">
        <f>IFERROR((INDEX(Priser!F:F,MATCH(Beregningsark!$B:$B,Priser!$B:$B,0))*INDEX(Priser!D:D,MATCH(Beregningsark!$B:$B,Priser!$B:$B,0)))*($E25-$D25),0)</f>
        <v>0</v>
      </c>
      <c r="K25" s="55">
        <f>IFERROR((INDEX(Priser!G:G,MATCH(Beregningsark!$B:$B,Priser!$B:$B,0))/INDEX(Priser!E:E,MATCH(Beregningsark!$B:$B,Priser!$B:$B,0)))*($E25-$D25),0)</f>
        <v>0</v>
      </c>
    </row>
    <row r="26" spans="1:11" ht="14.25" customHeight="1">
      <c r="A26" s="91"/>
      <c r="B26" s="56" t="s">
        <v>51</v>
      </c>
      <c r="C26" s="57" t="s">
        <v>25</v>
      </c>
      <c r="D26" s="58">
        <v>0</v>
      </c>
      <c r="E26" s="58">
        <v>0</v>
      </c>
      <c r="F26" s="78">
        <f>INDEX(Priser!D:D,MATCH(Beregningsark!$B26,Priser!$B:$B,0))</f>
        <v>0</v>
      </c>
      <c r="G26" s="78">
        <f>INDEX(Priser!E:E,MATCH(Beregningsark!$B26,Priser!$B:$B,0))</f>
        <v>5</v>
      </c>
      <c r="H26" s="79">
        <f>INDEX(Priser!F:F,MATCH(Beregningsark!$B26,Priser!$B:$B,0))</f>
        <v>0</v>
      </c>
      <c r="I26" s="79">
        <f>INDEX(Priser!G:G,MATCH(Beregningsark!$B26,Priser!$B:$B,0))</f>
        <v>1831.5000000000002</v>
      </c>
      <c r="J26" s="55">
        <f>IFERROR((INDEX(Priser!F:F,MATCH(Beregningsark!$B:$B,Priser!$B:$B,0))*INDEX(Priser!D:D,MATCH(Beregningsark!$B:$B,Priser!$B:$B,0)))*($E26-$D26),0)</f>
        <v>0</v>
      </c>
      <c r="K26" s="55">
        <f>IFERROR((INDEX(Priser!G:G,MATCH(Beregningsark!$B:$B,Priser!$B:$B,0))/INDEX(Priser!E:E,MATCH(Beregningsark!$B:$B,Priser!$B:$B,0)))*($E26-$D26),0)</f>
        <v>0</v>
      </c>
    </row>
    <row r="27" spans="1:11" ht="14.25" customHeight="1">
      <c r="A27" s="89" t="s">
        <v>69</v>
      </c>
      <c r="B27" s="56" t="s">
        <v>13</v>
      </c>
      <c r="C27" s="57" t="s">
        <v>25</v>
      </c>
      <c r="D27" s="58">
        <v>0</v>
      </c>
      <c r="E27" s="58">
        <v>0</v>
      </c>
      <c r="F27" s="78">
        <f>INDEX(Priser!D:D,MATCH(Beregningsark!$B27,Priser!$B:$B,0))</f>
        <v>1</v>
      </c>
      <c r="G27" s="78">
        <f>INDEX(Priser!E:E,MATCH(Beregningsark!$B27,Priser!$B:$B,0))</f>
        <v>20</v>
      </c>
      <c r="H27" s="79">
        <f>INDEX(Priser!F:F,MATCH(Beregningsark!$B27,Priser!$B:$B,0))</f>
        <v>55</v>
      </c>
      <c r="I27" s="79">
        <f>INDEX(Priser!G:G,MATCH(Beregningsark!$B27,Priser!$B:$B,0))</f>
        <v>8000</v>
      </c>
      <c r="J27" s="55">
        <f>IFERROR((INDEX(Priser!F:F,MATCH(Beregningsark!$B:$B,Priser!$B:$B,0))*INDEX(Priser!D:D,MATCH(Beregningsark!$B:$B,Priser!$B:$B,0)))*($E27-$D27),0)</f>
        <v>0</v>
      </c>
      <c r="K27" s="55">
        <f>IFERROR((INDEX(Priser!G:G,MATCH(Beregningsark!$B:$B,Priser!$B:$B,0))/INDEX(Priser!E:E,MATCH(Beregningsark!$B:$B,Priser!$B:$B,0)))*($E27-$D27),0)</f>
        <v>0</v>
      </c>
    </row>
    <row r="28" spans="1:11" ht="14.25" customHeight="1">
      <c r="A28" s="90"/>
      <c r="B28" s="56" t="s">
        <v>8</v>
      </c>
      <c r="C28" s="57" t="s">
        <v>25</v>
      </c>
      <c r="D28" s="58">
        <v>0</v>
      </c>
      <c r="E28" s="58">
        <v>0</v>
      </c>
      <c r="F28" s="78">
        <f>INDEX(Priser!D:D,MATCH(Beregningsark!$B28,Priser!$B:$B,0))</f>
        <v>156</v>
      </c>
      <c r="G28" s="78">
        <f>INDEX(Priser!E:E,MATCH(Beregningsark!$B28,Priser!$B:$B,0))</f>
        <v>15</v>
      </c>
      <c r="H28" s="79">
        <f>INDEX(Priser!F:F,MATCH(Beregningsark!$B28,Priser!$B:$B,0))</f>
        <v>16.962</v>
      </c>
      <c r="I28" s="79">
        <f>INDEX(Priser!G:G,MATCH(Beregningsark!$B28,Priser!$B:$B,0))</f>
        <v>7000</v>
      </c>
      <c r="J28" s="55">
        <f>IFERROR((INDEX(Priser!F:F,MATCH(Beregningsark!$B:$B,Priser!$B:$B,0))*INDEX(Priser!D:D,MATCH(Beregningsark!$B:$B,Priser!$B:$B,0)))*($E28-$D28),0)</f>
        <v>0</v>
      </c>
      <c r="K28" s="55">
        <f>IFERROR((INDEX(Priser!G:G,MATCH(Beregningsark!$B:$B,Priser!$B:$B,0))/INDEX(Priser!E:E,MATCH(Beregningsark!$B:$B,Priser!$B:$B,0)))*($E28-$D28),0)</f>
        <v>0</v>
      </c>
    </row>
    <row r="29" spans="1:11" ht="14.25" customHeight="1">
      <c r="A29" s="90"/>
      <c r="B29" s="56" t="s">
        <v>11</v>
      </c>
      <c r="C29" s="57" t="s">
        <v>32</v>
      </c>
      <c r="D29" s="58">
        <v>0</v>
      </c>
      <c r="E29" s="58">
        <v>0</v>
      </c>
      <c r="F29" s="78">
        <f>INDEX(Priser!D:D,MATCH(Beregningsark!$B29,Priser!$B:$B,0))</f>
        <v>0.1</v>
      </c>
      <c r="G29" s="78">
        <f>INDEX(Priser!E:E,MATCH(Beregningsark!$B29,Priser!$B:$B,0))</f>
        <v>15</v>
      </c>
      <c r="H29" s="79">
        <f>INDEX(Priser!F:F,MATCH(Beregningsark!$B29,Priser!$B:$B,0))</f>
        <v>1000</v>
      </c>
      <c r="I29" s="79">
        <f>INDEX(Priser!G:G,MATCH(Beregningsark!$B29,Priser!$B:$B,0))</f>
        <v>10000</v>
      </c>
      <c r="J29" s="55">
        <f>IFERROR((INDEX(Priser!F:F,MATCH(Beregningsark!$B:$B,Priser!$B:$B,0))*INDEX(Priser!D:D,MATCH(Beregningsark!$B:$B,Priser!$B:$B,0)))*($E29-$D29),0)</f>
        <v>0</v>
      </c>
      <c r="K29" s="55">
        <f>IFERROR((INDEX(Priser!G:G,MATCH(Beregningsark!$B:$B,Priser!$B:$B,0))/INDEX(Priser!E:E,MATCH(Beregningsark!$B:$B,Priser!$B:$B,0)))*($E29-$D29),0)</f>
        <v>0</v>
      </c>
    </row>
    <row r="30" spans="1:11" ht="14.25" customHeight="1">
      <c r="A30" s="90"/>
      <c r="B30" s="59" t="s">
        <v>12</v>
      </c>
      <c r="C30" s="57" t="s">
        <v>25</v>
      </c>
      <c r="D30" s="58">
        <v>0</v>
      </c>
      <c r="E30" s="58">
        <v>0</v>
      </c>
      <c r="F30" s="78">
        <f>INDEX(Priser!D:D,MATCH(Beregningsark!$B30,Priser!$B:$B,0))</f>
        <v>0.1</v>
      </c>
      <c r="G30" s="78">
        <f>INDEX(Priser!E:E,MATCH(Beregningsark!$B30,Priser!$B:$B,0))</f>
        <v>15</v>
      </c>
      <c r="H30" s="79">
        <f>INDEX(Priser!F:F,MATCH(Beregningsark!$B30,Priser!$B:$B,0))</f>
        <v>1000</v>
      </c>
      <c r="I30" s="79">
        <f>INDEX(Priser!G:G,MATCH(Beregningsark!$B30,Priser!$B:$B,0))</f>
        <v>15000</v>
      </c>
      <c r="J30" s="55">
        <f>IFERROR((INDEX(Priser!F:F,MATCH(Beregningsark!$B:$B,Priser!$B:$B,0))*INDEX(Priser!D:D,MATCH(Beregningsark!$B:$B,Priser!$B:$B,0)))*($E30-$D30),0)</f>
        <v>0</v>
      </c>
      <c r="K30" s="55">
        <f>IFERROR((INDEX(Priser!G:G,MATCH(Beregningsark!$B:$B,Priser!$B:$B,0))/INDEX(Priser!E:E,MATCH(Beregningsark!$B:$B,Priser!$B:$B,0)))*($E30-$D30),0)</f>
        <v>0</v>
      </c>
    </row>
    <row r="31" spans="1:11" ht="14.25" customHeight="1">
      <c r="A31" s="90"/>
      <c r="B31" s="61" t="s">
        <v>118</v>
      </c>
      <c r="C31" s="57" t="s">
        <v>38</v>
      </c>
      <c r="D31" s="58">
        <v>0</v>
      </c>
      <c r="E31" s="58">
        <v>0</v>
      </c>
      <c r="F31" s="78">
        <f>INDEX(Priser!D:D,MATCH(Beregningsark!$B31,Priser!$B:$B,0))</f>
        <v>0.05</v>
      </c>
      <c r="G31" s="78">
        <f>INDEX(Priser!E:E,MATCH(Beregningsark!$B31,Priser!$B:$B,0))</f>
        <v>10</v>
      </c>
      <c r="H31" s="79">
        <f>INDEX(Priser!F:F,MATCH(Beregningsark!$B31,Priser!$B:$B,0))</f>
        <v>1585.8499999999997</v>
      </c>
      <c r="I31" s="79">
        <f>INDEX(Priser!G:G,MATCH(Beregningsark!$B31,Priser!$B:$B,0))</f>
        <v>1585.8499999999997</v>
      </c>
      <c r="J31" s="55">
        <f>IFERROR((INDEX(Priser!F:F,MATCH(Beregningsark!$B:$B,Priser!$B:$B,0))*INDEX(Priser!D:D,MATCH(Beregningsark!$B:$B,Priser!$B:$B,0)))*($E31-$D31),0)</f>
        <v>0</v>
      </c>
      <c r="K31" s="55">
        <f>IFERROR((INDEX(Priser!G:G,MATCH(Beregningsark!$B:$B,Priser!$B:$B,0))/INDEX(Priser!E:E,MATCH(Beregningsark!$B:$B,Priser!$B:$B,0)))*($E31-$D31),0)</f>
        <v>0</v>
      </c>
    </row>
    <row r="32" spans="1:11" ht="14.25" customHeight="1">
      <c r="A32" s="90"/>
      <c r="B32" s="56" t="s">
        <v>98</v>
      </c>
      <c r="C32" s="57" t="s">
        <v>25</v>
      </c>
      <c r="D32" s="58">
        <v>0</v>
      </c>
      <c r="E32" s="58">
        <v>0</v>
      </c>
      <c r="F32" s="78">
        <f>INDEX(Priser!D:D,MATCH(Beregningsark!$B32,Priser!$B:$B,0))</f>
        <v>0.05</v>
      </c>
      <c r="G32" s="78">
        <f>INDEX(Priser!E:E,MATCH(Beregningsark!$B32,Priser!$B:$B,0))</f>
        <v>15</v>
      </c>
      <c r="H32" s="79">
        <f>INDEX(Priser!F:F,MATCH(Beregningsark!$B32,Priser!$B:$B,0))</f>
        <v>6241.1526999999996</v>
      </c>
      <c r="I32" s="79">
        <f>INDEX(Priser!G:G,MATCH(Beregningsark!$B32,Priser!$B:$B,0))</f>
        <v>6241.1526999999996</v>
      </c>
      <c r="J32" s="55">
        <f>IFERROR((INDEX(Priser!F:F,MATCH(Beregningsark!$B:$B,Priser!$B:$B,0))*INDEX(Priser!D:D,MATCH(Beregningsark!$B:$B,Priser!$B:$B,0)))*($E32-$D32),0)</f>
        <v>0</v>
      </c>
      <c r="K32" s="55">
        <f>IFERROR((INDEX(Priser!G:G,MATCH(Beregningsark!$B:$B,Priser!$B:$B,0))/INDEX(Priser!E:E,MATCH(Beregningsark!$B:$B,Priser!$B:$B,0)))*($E32-$D32),0)</f>
        <v>0</v>
      </c>
    </row>
    <row r="33" spans="1:12" ht="14.25" customHeight="1">
      <c r="A33" s="91"/>
      <c r="B33" s="56" t="s">
        <v>114</v>
      </c>
      <c r="C33" s="57" t="s">
        <v>25</v>
      </c>
      <c r="D33" s="58">
        <v>0</v>
      </c>
      <c r="E33" s="58">
        <v>0</v>
      </c>
      <c r="F33" s="78">
        <f>INDEX(Priser!D:D,MATCH(Beregningsark!$B33,Priser!$B:$B,0))</f>
        <v>0.05</v>
      </c>
      <c r="G33" s="78">
        <f>INDEX(Priser!E:E,MATCH(Beregningsark!$B33,Priser!$B:$B,0))</f>
        <v>15</v>
      </c>
      <c r="H33" s="79">
        <f>INDEX(Priser!F:F,MATCH(Beregningsark!$B33,Priser!$B:$B,0))</f>
        <v>9046.4</v>
      </c>
      <c r="I33" s="79">
        <f>INDEX(Priser!G:G,MATCH(Beregningsark!$B33,Priser!$B:$B,0))</f>
        <v>9046.4</v>
      </c>
      <c r="J33" s="55">
        <f>IFERROR((INDEX(Priser!F:F,MATCH(Beregningsark!$B:$B,Priser!$B:$B,0))*INDEX(Priser!D:D,MATCH(Beregningsark!$B:$B,Priser!$B:$B,0)))*($E33-$D33),0)</f>
        <v>0</v>
      </c>
      <c r="K33" s="55">
        <f>IFERROR((INDEX(Priser!G:G,MATCH(Beregningsark!$B:$B,Priser!$B:$B,0))/INDEX(Priser!E:E,MATCH(Beregningsark!$B:$B,Priser!$B:$B,0)))*($E33-$D33),0)</f>
        <v>0</v>
      </c>
    </row>
    <row r="34" spans="1:12" ht="14.25" customHeight="1">
      <c r="A34" s="89" t="s">
        <v>52</v>
      </c>
      <c r="B34" s="56" t="s">
        <v>5</v>
      </c>
      <c r="C34" s="57" t="s">
        <v>25</v>
      </c>
      <c r="D34" s="58">
        <v>0</v>
      </c>
      <c r="E34" s="58">
        <v>0</v>
      </c>
      <c r="F34" s="78">
        <f>INDEX(Priser!D:D,MATCH(Beregningsark!$B34,Priser!$B:$B,0))</f>
        <v>0.5</v>
      </c>
      <c r="G34" s="78">
        <f>INDEX(Priser!E:E,MATCH(Beregningsark!$B34,Priser!$B:$B,0))</f>
        <v>25</v>
      </c>
      <c r="H34" s="79">
        <f>INDEX(Priser!F:F,MATCH(Beregningsark!$B34,Priser!$B:$B,0))</f>
        <v>555.81087500000001</v>
      </c>
      <c r="I34" s="79">
        <f>INDEX(Priser!G:G,MATCH(Beregningsark!$B34,Priser!$B:$B,0))</f>
        <v>52000</v>
      </c>
      <c r="J34" s="55">
        <f>IFERROR((INDEX(Priser!F:F,MATCH(Beregningsark!$B:$B,Priser!$B:$B,0))*INDEX(Priser!D:D,MATCH(Beregningsark!$B:$B,Priser!$B:$B,0)))*($E34-$D34),0)</f>
        <v>0</v>
      </c>
      <c r="K34" s="55">
        <f>IFERROR((INDEX(Priser!G:G,MATCH(Beregningsark!$B:$B,Priser!$B:$B,0))/INDEX(Priser!E:E,MATCH(Beregningsark!$B:$B,Priser!$B:$B,0)))*($E34-$D34),0)</f>
        <v>0</v>
      </c>
    </row>
    <row r="35" spans="1:12" ht="14.25" customHeight="1">
      <c r="A35" s="91"/>
      <c r="B35" s="56" t="s">
        <v>19</v>
      </c>
      <c r="C35" s="57" t="s">
        <v>25</v>
      </c>
      <c r="D35" s="58">
        <v>0</v>
      </c>
      <c r="E35" s="58">
        <v>0</v>
      </c>
      <c r="F35" s="78">
        <f>INDEX(Priser!D:D,MATCH(Beregningsark!$B35,Priser!$B:$B,0))</f>
        <v>0.05</v>
      </c>
      <c r="G35" s="78">
        <f>INDEX(Priser!E:E,MATCH(Beregningsark!$B35,Priser!$B:$B,0))</f>
        <v>25</v>
      </c>
      <c r="H35" s="79">
        <f>INDEX(Priser!F:F,MATCH(Beregningsark!$B35,Priser!$B:$B,0))</f>
        <v>50</v>
      </c>
      <c r="I35" s="79">
        <f>INDEX(Priser!G:G,MATCH(Beregningsark!$B35,Priser!$B:$B,0))</f>
        <v>2000</v>
      </c>
      <c r="J35" s="55">
        <f>IFERROR((INDEX(Priser!F:F,MATCH(Beregningsark!$B:$B,Priser!$B:$B,0))*INDEX(Priser!D:D,MATCH(Beregningsark!$B:$B,Priser!$B:$B,0)))*($E35-$D35),0)</f>
        <v>0</v>
      </c>
      <c r="K35" s="55">
        <f>IFERROR((INDEX(Priser!G:G,MATCH(Beregningsark!$B:$B,Priser!$B:$B,0))/INDEX(Priser!E:E,MATCH(Beregningsark!$B:$B,Priser!$B:$B,0)))*($E35-$D35),0)</f>
        <v>0</v>
      </c>
    </row>
    <row r="36" spans="1:12" ht="14.25" customHeight="1">
      <c r="A36" s="100" t="s">
        <v>28</v>
      </c>
      <c r="B36" s="56" t="s">
        <v>9</v>
      </c>
      <c r="C36" s="57" t="s">
        <v>25</v>
      </c>
      <c r="D36" s="58">
        <v>0</v>
      </c>
      <c r="E36" s="58">
        <v>0</v>
      </c>
      <c r="F36" s="78">
        <f>INDEX(Priser!D:D,MATCH(Beregningsark!$B36,Priser!$B:$B,0))</f>
        <v>2</v>
      </c>
      <c r="G36" s="78">
        <f>INDEX(Priser!E:E,MATCH(Beregningsark!$B36,Priser!$B:$B,0))</f>
        <v>0</v>
      </c>
      <c r="H36" s="79">
        <f>INDEX(Priser!F:F,MATCH(Beregningsark!$B36,Priser!$B:$B,0))</f>
        <v>1.8143433333333334</v>
      </c>
      <c r="I36" s="79">
        <f>INDEX(Priser!G:G,MATCH(Beregningsark!$B36,Priser!$B:$B,0))</f>
        <v>0</v>
      </c>
      <c r="J36" s="55">
        <f>IFERROR((INDEX(Priser!F:F,MATCH(Beregningsark!$B:$B,Priser!$B:$B,0))*INDEX(Priser!D:D,MATCH(Beregningsark!$B:$B,Priser!$B:$B,0)))*($E36-$D36),0)</f>
        <v>0</v>
      </c>
      <c r="K36" s="55">
        <f>IFERROR((INDEX(Priser!G:G,MATCH(Beregningsark!$B:$B,Priser!$B:$B,0))/INDEX(Priser!E:E,MATCH(Beregningsark!$B:$B,Priser!$B:$B,0)))*($E36-$D36),0)</f>
        <v>0</v>
      </c>
    </row>
    <row r="37" spans="1:12" ht="14.25" customHeight="1">
      <c r="A37" s="101"/>
      <c r="B37" s="59" t="s">
        <v>7</v>
      </c>
      <c r="C37" s="57" t="s">
        <v>25</v>
      </c>
      <c r="D37" s="58">
        <v>0</v>
      </c>
      <c r="E37" s="58">
        <v>0</v>
      </c>
      <c r="F37" s="78">
        <f>INDEX(Priser!D:D,MATCH(Beregningsark!$B37,Priser!$B:$B,0))</f>
        <v>3</v>
      </c>
      <c r="G37" s="78">
        <f>INDEX(Priser!E:E,MATCH(Beregningsark!$B37,Priser!$B:$B,0))</f>
        <v>50</v>
      </c>
      <c r="H37" s="79">
        <f>INDEX(Priser!F:F,MATCH(Beregningsark!$B37,Priser!$B:$B,0))</f>
        <v>3.1991703333333334</v>
      </c>
      <c r="I37" s="79">
        <f>INDEX(Priser!G:G,MATCH(Beregningsark!$B37,Priser!$B:$B,0))</f>
        <v>0</v>
      </c>
      <c r="J37" s="55">
        <f>IFERROR((INDEX(Priser!F:F,MATCH(Beregningsark!$B:$B,Priser!$B:$B,0))*INDEX(Priser!D:D,MATCH(Beregningsark!$B:$B,Priser!$B:$B,0)))*($E37-$D37),0)</f>
        <v>0</v>
      </c>
      <c r="K37" s="55">
        <f>IFERROR((INDEX(Priser!G:G,MATCH(Beregningsark!$B:$B,Priser!$B:$B,0))/INDEX(Priser!E:E,MATCH(Beregningsark!$B:$B,Priser!$B:$B,0)))*($E37-$D37),0)</f>
        <v>0</v>
      </c>
    </row>
    <row r="38" spans="1:12" ht="14.25" customHeight="1">
      <c r="A38" s="101"/>
      <c r="B38" s="56" t="s">
        <v>6</v>
      </c>
      <c r="C38" s="57" t="s">
        <v>25</v>
      </c>
      <c r="D38" s="58">
        <v>0</v>
      </c>
      <c r="E38" s="58">
        <v>0</v>
      </c>
      <c r="F38" s="78">
        <f>INDEX(Priser!D:D,MATCH(Beregningsark!$B38,Priser!$B:$B,0))</f>
        <v>1</v>
      </c>
      <c r="G38" s="78">
        <f>INDEX(Priser!E:E,MATCH(Beregningsark!$B38,Priser!$B:$B,0))</f>
        <v>40</v>
      </c>
      <c r="H38" s="79">
        <f>INDEX(Priser!F:F,MATCH(Beregningsark!$B38,Priser!$B:$B,0))</f>
        <v>2700</v>
      </c>
      <c r="I38" s="79">
        <f>INDEX(Priser!G:G,MATCH(Beregningsark!$B38,Priser!$B:$B,0))</f>
        <v>35000</v>
      </c>
      <c r="J38" s="55">
        <f>IFERROR((INDEX(Priser!F:F,MATCH(Beregningsark!$B:$B,Priser!$B:$B,0))*INDEX(Priser!D:D,MATCH(Beregningsark!$B:$B,Priser!$B:$B,0)))*($E38-$D38),0)</f>
        <v>0</v>
      </c>
      <c r="K38" s="55">
        <f>IFERROR((INDEX(Priser!G:G,MATCH(Beregningsark!$B:$B,Priser!$B:$B,0))/INDEX(Priser!E:E,MATCH(Beregningsark!$B:$B,Priser!$B:$B,0)))*($E38-$D38),0)</f>
        <v>0</v>
      </c>
    </row>
    <row r="39" spans="1:12" ht="14.25" customHeight="1">
      <c r="A39" s="102"/>
      <c r="B39" s="59" t="s">
        <v>20</v>
      </c>
      <c r="C39" s="57" t="s">
        <v>25</v>
      </c>
      <c r="D39" s="58">
        <v>0</v>
      </c>
      <c r="E39" s="58">
        <v>0</v>
      </c>
      <c r="F39" s="78">
        <f>INDEX(Priser!D:D,MATCH(Beregningsark!$B39,Priser!$B:$B,0))</f>
        <v>0.1</v>
      </c>
      <c r="G39" s="78">
        <f>INDEX(Priser!E:E,MATCH(Beregningsark!$B39,Priser!$B:$B,0))</f>
        <v>50</v>
      </c>
      <c r="H39" s="79">
        <f>INDEX(Priser!F:F,MATCH(Beregningsark!$B39,Priser!$B:$B,0))</f>
        <v>0</v>
      </c>
      <c r="I39" s="79">
        <f>INDEX(Priser!G:G,MATCH(Beregningsark!$B39,Priser!$B:$B,0))</f>
        <v>0</v>
      </c>
      <c r="J39" s="55">
        <f>IFERROR((INDEX(Priser!F:F,MATCH(Beregningsark!$B:$B,Priser!$B:$B,0))*INDEX(Priser!D:D,MATCH(Beregningsark!$B:$B,Priser!$B:$B,0)))*($E39-$D39),0)</f>
        <v>0</v>
      </c>
      <c r="K39" s="55">
        <f>IFERROR((INDEX(Priser!G:G,MATCH(Beregningsark!$B:$B,Priser!$B:$B,0))/INDEX(Priser!E:E,MATCH(Beregningsark!$B:$B,Priser!$B:$B,0)))*($E39-$D39),0)</f>
        <v>0</v>
      </c>
    </row>
    <row r="40" spans="1:12">
      <c r="A40" s="97" t="s">
        <v>29</v>
      </c>
      <c r="B40" s="62" t="s">
        <v>119</v>
      </c>
      <c r="C40" s="57" t="s">
        <v>34</v>
      </c>
      <c r="D40" s="58">
        <v>10</v>
      </c>
      <c r="E40" s="58">
        <v>25</v>
      </c>
      <c r="F40" s="78">
        <f>INDEX(Priser!D:D,MATCH(Beregningsark!$B40,Priser!$B:$B,0))</f>
        <v>1</v>
      </c>
      <c r="G40" s="78">
        <f>INDEX(Priser!E:E,MATCH(Beregningsark!$B40,Priser!$B:$B,0))</f>
        <v>15</v>
      </c>
      <c r="H40" s="79">
        <f>INDEX(Priser!F:F,MATCH(Beregningsark!$B40,Priser!$B:$B,0))</f>
        <v>1500</v>
      </c>
      <c r="I40" s="79">
        <f>INDEX(Priser!G:G,MATCH(Beregningsark!$B40,Priser!$B:$B,0))</f>
        <v>70000</v>
      </c>
      <c r="J40" s="55">
        <f>IFERROR((INDEX(Priser!F:F,MATCH(Beregningsark!$B:$B,Priser!$B:$B,0))*INDEX(Priser!D:D,MATCH(Beregningsark!$B:$B,Priser!$B:$B,0)))*($E40-$D40),0)</f>
        <v>22500</v>
      </c>
      <c r="K40" s="55">
        <f>IFERROR((INDEX(Priser!G:G,MATCH(Beregningsark!$B:$B,Priser!$B:$B,0))/INDEX(Priser!E:E,MATCH(Beregningsark!$B:$B,Priser!$B:$B,0)))*($E40-$D40),0)</f>
        <v>70000</v>
      </c>
    </row>
    <row r="41" spans="1:12">
      <c r="A41" s="98"/>
      <c r="B41" s="63" t="s">
        <v>64</v>
      </c>
      <c r="C41" s="57" t="s">
        <v>35</v>
      </c>
      <c r="D41" s="58">
        <v>0</v>
      </c>
      <c r="E41" s="58">
        <v>0</v>
      </c>
      <c r="F41" s="78">
        <f>INDEX(Priser!D:D,MATCH(Beregningsark!$B41,Priser!$B:$B,0))</f>
        <v>1</v>
      </c>
      <c r="G41" s="78">
        <f>INDEX(Priser!E:E,MATCH(Beregningsark!$B41,Priser!$B:$B,0))</f>
        <v>15</v>
      </c>
      <c r="H41" s="79">
        <f>INDEX(Priser!F:F,MATCH(Beregningsark!$B41,Priser!$B:$B,0))</f>
        <v>40000</v>
      </c>
      <c r="I41" s="79">
        <f>INDEX(Priser!G:G,MATCH(Beregningsark!$B41,Priser!$B:$B,0))</f>
        <v>400000</v>
      </c>
      <c r="J41" s="55">
        <f>IFERROR((INDEX(Priser!F:F,MATCH(Beregningsark!$B:$B,Priser!$B:$B,0))*INDEX(Priser!D:D,MATCH(Beregningsark!$B:$B,Priser!$B:$B,0)))*($E41-$D41),0)</f>
        <v>0</v>
      </c>
      <c r="K41" s="55">
        <f>IFERROR((INDEX(Priser!G:G,MATCH(Beregningsark!$B:$B,Priser!$B:$B,0))/INDEX(Priser!E:E,MATCH(Beregningsark!$B:$B,Priser!$B:$B,0)))*($E41-$D41),0)</f>
        <v>0</v>
      </c>
    </row>
    <row r="42" spans="1:12">
      <c r="A42" s="98"/>
      <c r="B42" s="64" t="s">
        <v>65</v>
      </c>
      <c r="C42" s="57" t="s">
        <v>35</v>
      </c>
      <c r="D42" s="58">
        <v>0</v>
      </c>
      <c r="E42" s="58">
        <v>0</v>
      </c>
      <c r="F42" s="78">
        <f>INDEX(Priser!D:D,MATCH(Beregningsark!$B42,Priser!$B:$B,0))</f>
        <v>1</v>
      </c>
      <c r="G42" s="78">
        <f>INDEX(Priser!E:E,MATCH(Beregningsark!$B42,Priser!$B:$B,0))</f>
        <v>10</v>
      </c>
      <c r="H42" s="79">
        <f>INDEX(Priser!F:F,MATCH(Beregningsark!$B42,Priser!$B:$B,0))</f>
        <v>50000</v>
      </c>
      <c r="I42" s="79">
        <f>INDEX(Priser!G:G,MATCH(Beregningsark!$B42,Priser!$B:$B,0))</f>
        <v>300000</v>
      </c>
      <c r="J42" s="55">
        <f>IFERROR((INDEX(Priser!F:F,MATCH(Beregningsark!$B:$B,Priser!$B:$B,0))*INDEX(Priser!D:D,MATCH(Beregningsark!$B:$B,Priser!$B:$B,0)))*($E42-$D42),0)</f>
        <v>0</v>
      </c>
      <c r="K42" s="55">
        <f>IFERROR((INDEX(Priser!G:G,MATCH(Beregningsark!$B:$B,Priser!$B:$B,0))/INDEX(Priser!E:E,MATCH(Beregningsark!$B:$B,Priser!$B:$B,0)))*($E42-$D42),0)</f>
        <v>0</v>
      </c>
    </row>
    <row r="43" spans="1:12">
      <c r="A43" s="98"/>
      <c r="B43" s="63" t="s">
        <v>66</v>
      </c>
      <c r="C43" s="57" t="s">
        <v>34</v>
      </c>
      <c r="D43" s="58">
        <v>0</v>
      </c>
      <c r="E43" s="58">
        <v>0</v>
      </c>
      <c r="F43" s="78">
        <f>INDEX(Priser!D:D,MATCH(Beregningsark!$B43,Priser!$B:$B,0))</f>
        <v>0</v>
      </c>
      <c r="G43" s="78">
        <f>INDEX(Priser!E:E,MATCH(Beregningsark!$B43,Priser!$B:$B,0))</f>
        <v>0</v>
      </c>
      <c r="H43" s="79">
        <f>INDEX(Priser!F:F,MATCH(Beregningsark!$B43,Priser!$B:$B,0))</f>
        <v>0</v>
      </c>
      <c r="I43" s="79">
        <f>INDEX(Priser!G:G,MATCH(Beregningsark!$B43,Priser!$B:$B,0))</f>
        <v>0</v>
      </c>
      <c r="J43" s="55">
        <f>IFERROR((INDEX(Priser!F:F,MATCH(Beregningsark!$B:$B,Priser!$B:$B,0))*INDEX(Priser!D:D,MATCH(Beregningsark!$B:$B,Priser!$B:$B,0)))*($E43-$D43),0)</f>
        <v>0</v>
      </c>
      <c r="K43" s="55">
        <f>IFERROR((INDEX(Priser!G:G,MATCH(Beregningsark!$B:$B,Priser!$B:$B,0))/INDEX(Priser!E:E,MATCH(Beregningsark!$B:$B,Priser!$B:$B,0)))*($E43-$D43),0)</f>
        <v>0</v>
      </c>
    </row>
    <row r="44" spans="1:12">
      <c r="A44" s="98"/>
      <c r="B44" s="65" t="s">
        <v>21</v>
      </c>
      <c r="C44" s="57" t="s">
        <v>25</v>
      </c>
      <c r="D44" s="58">
        <v>0</v>
      </c>
      <c r="E44" s="58">
        <v>0</v>
      </c>
      <c r="F44" s="78">
        <f>INDEX(Priser!D:D,MATCH(Beregningsark!$B44,Priser!$B:$B,0))</f>
        <v>1</v>
      </c>
      <c r="G44" s="78">
        <f>INDEX(Priser!E:E,MATCH(Beregningsark!$B44,Priser!$B:$B,0))</f>
        <v>25</v>
      </c>
      <c r="H44" s="79">
        <f>INDEX(Priser!F:F,MATCH(Beregningsark!$B44,Priser!$B:$B,0))</f>
        <v>18</v>
      </c>
      <c r="I44" s="79">
        <f>INDEX(Priser!G:G,MATCH(Beregningsark!$B44,Priser!$B:$B,0))</f>
        <v>1875</v>
      </c>
      <c r="J44" s="55">
        <f>IFERROR((INDEX(Priser!F:F,MATCH(Beregningsark!$B:$B,Priser!$B:$B,0))*INDEX(Priser!D:D,MATCH(Beregningsark!$B:$B,Priser!$B:$B,0)))*($E44-$D44),0)</f>
        <v>0</v>
      </c>
      <c r="K44" s="55">
        <f>IFERROR((INDEX(Priser!G:G,MATCH(Beregningsark!$B:$B,Priser!$B:$B,0))/INDEX(Priser!E:E,MATCH(Beregningsark!$B:$B,Priser!$B:$B,0)))*($E44-$D44),0)</f>
        <v>0</v>
      </c>
    </row>
    <row r="45" spans="1:12">
      <c r="A45" s="98"/>
      <c r="B45" s="65" t="s">
        <v>67</v>
      </c>
      <c r="C45" s="57" t="s">
        <v>38</v>
      </c>
      <c r="D45" s="58">
        <v>0</v>
      </c>
      <c r="E45" s="58">
        <v>0</v>
      </c>
      <c r="F45" s="78">
        <f>INDEX(Priser!D:D,MATCH(Beregningsark!$B45,Priser!$B:$B,0))</f>
        <v>1</v>
      </c>
      <c r="G45" s="78">
        <f>INDEX(Priser!E:E,MATCH(Beregningsark!$B45,Priser!$B:$B,0))</f>
        <v>10</v>
      </c>
      <c r="H45" s="79">
        <f>INDEX(Priser!F:F,MATCH(Beregningsark!$B45,Priser!$B:$B,0))</f>
        <v>7650</v>
      </c>
      <c r="I45" s="79">
        <f>INDEX(Priser!G:G,MATCH(Beregningsark!$B45,Priser!$B:$B,0))</f>
        <v>27000</v>
      </c>
      <c r="J45" s="55">
        <f>IFERROR((INDEX(Priser!F:F,MATCH(Beregningsark!$B:$B,Priser!$B:$B,0))*INDEX(Priser!D:D,MATCH(Beregningsark!$B:$B,Priser!$B:$B,0)))*($E45-$D45),0)</f>
        <v>0</v>
      </c>
      <c r="K45" s="55">
        <f>IFERROR((INDEX(Priser!G:G,MATCH(Beregningsark!$B:$B,Priser!$B:$B,0))/INDEX(Priser!E:E,MATCH(Beregningsark!$B:$B,Priser!$B:$B,0)))*($E45-$D45),0)</f>
        <v>0</v>
      </c>
    </row>
    <row r="46" spans="1:12">
      <c r="A46" s="99"/>
      <c r="B46" s="61" t="s">
        <v>68</v>
      </c>
      <c r="C46" s="66" t="s">
        <v>35</v>
      </c>
      <c r="D46" s="58">
        <v>0</v>
      </c>
      <c r="E46" s="58">
        <v>0</v>
      </c>
      <c r="F46" s="78">
        <f>INDEX(Priser!D:D,MATCH(Beregningsark!$B46,Priser!$B:$B,0))</f>
        <v>1</v>
      </c>
      <c r="G46" s="78">
        <f>INDEX(Priser!E:E,MATCH(Beregningsark!$B46,Priser!$B:$B,0))</f>
        <v>10</v>
      </c>
      <c r="H46" s="79">
        <f>INDEX(Priser!F:F,MATCH(Beregningsark!$B46,Priser!$B:$B,0))</f>
        <v>30000</v>
      </c>
      <c r="I46" s="79">
        <f>INDEX(Priser!G:G,MATCH(Beregningsark!$B46,Priser!$B:$B,0))</f>
        <v>300000</v>
      </c>
      <c r="J46" s="55">
        <f>IFERROR((INDEX(Priser!F:F,MATCH(Beregningsark!$B:$B,Priser!$B:$B,0))*INDEX(Priser!D:D,MATCH(Beregningsark!$B:$B,Priser!$B:$B,0)))*($E46-$D46),0)</f>
        <v>0</v>
      </c>
      <c r="K46" s="55">
        <f>IFERROR((INDEX(Priser!G:G,MATCH(Beregningsark!$B:$B,Priser!$B:$B,0))/INDEX(Priser!E:E,MATCH(Beregningsark!$B:$B,Priser!$B:$B,0)))*($E46-$D46),0)</f>
        <v>0</v>
      </c>
    </row>
    <row r="47" spans="1:12">
      <c r="A47" s="40"/>
      <c r="B47" s="67" t="s">
        <v>75</v>
      </c>
      <c r="C47" s="57" t="s">
        <v>38</v>
      </c>
      <c r="D47" s="58">
        <v>0</v>
      </c>
      <c r="E47" s="58">
        <v>0</v>
      </c>
      <c r="F47" s="78">
        <f>INDEX(Priser!D:D,MATCH(Beregningsark!$B47,Priser!$B:$B,0))</f>
        <v>1</v>
      </c>
      <c r="G47" s="78">
        <f>INDEX(Priser!E:E,MATCH(Beregningsark!$B47,Priser!$B:$B,0))</f>
        <v>10</v>
      </c>
      <c r="H47" s="79">
        <f>INDEX(Priser!F:F,MATCH(Beregningsark!$B47,Priser!$B:$B,0))</f>
        <v>9300</v>
      </c>
      <c r="I47" s="79">
        <f>INDEX(Priser!G:G,MATCH(Beregningsark!$B47,Priser!$B:$B,0))</f>
        <v>60000</v>
      </c>
      <c r="J47" s="55">
        <f>IFERROR((INDEX(Priser!F:F,MATCH(Beregningsark!$B:$B,Priser!$B:$B,0))*INDEX(Priser!D:D,MATCH(Beregningsark!$B:$B,Priser!$B:$B,0)))*($E47-$D47),0)</f>
        <v>0</v>
      </c>
      <c r="K47" s="55">
        <f>IFERROR((INDEX(Priser!G:G,MATCH(Beregningsark!$B:$B,Priser!$B:$B,0))/INDEX(Priser!E:E,MATCH(Beregningsark!$B:$B,Priser!$B:$B,0)))*($E47-$D47),0)</f>
        <v>0</v>
      </c>
    </row>
    <row r="48" spans="1:12" ht="15" customHeight="1">
      <c r="A48" s="89" t="s">
        <v>41</v>
      </c>
      <c r="B48" s="68" t="s">
        <v>101</v>
      </c>
      <c r="C48" s="69"/>
      <c r="D48" s="58">
        <v>0</v>
      </c>
      <c r="E48" s="58">
        <v>0</v>
      </c>
      <c r="F48" s="76"/>
      <c r="G48" s="76"/>
      <c r="H48" s="76"/>
      <c r="I48" s="76"/>
      <c r="J48" s="55">
        <f>($E48-$D48)*$F48*$H48</f>
        <v>0</v>
      </c>
      <c r="K48" s="55">
        <f t="shared" ref="K48:K54" si="0">IFERROR(($E48-$D48)*($I48/$G48),0)</f>
        <v>0</v>
      </c>
      <c r="L48" s="80"/>
    </row>
    <row r="49" spans="1:12" ht="15" customHeight="1">
      <c r="A49" s="90"/>
      <c r="B49" s="68" t="s">
        <v>101</v>
      </c>
      <c r="C49" s="69"/>
      <c r="D49" s="58">
        <v>0</v>
      </c>
      <c r="E49" s="58">
        <v>0</v>
      </c>
      <c r="F49" s="76"/>
      <c r="G49" s="76"/>
      <c r="H49" s="76"/>
      <c r="I49" s="76"/>
      <c r="J49" s="55">
        <f t="shared" ref="J49:J54" si="1">(E49-D49)*F49*H49</f>
        <v>0</v>
      </c>
      <c r="K49" s="55">
        <f t="shared" si="0"/>
        <v>0</v>
      </c>
      <c r="L49" s="80"/>
    </row>
    <row r="50" spans="1:12" ht="15" customHeight="1">
      <c r="A50" s="90"/>
      <c r="B50" s="68" t="s">
        <v>101</v>
      </c>
      <c r="C50" s="69"/>
      <c r="D50" s="58">
        <v>0</v>
      </c>
      <c r="E50" s="58">
        <v>0</v>
      </c>
      <c r="F50" s="76"/>
      <c r="G50" s="76"/>
      <c r="H50" s="76"/>
      <c r="I50" s="76"/>
      <c r="J50" s="55">
        <f t="shared" si="1"/>
        <v>0</v>
      </c>
      <c r="K50" s="55">
        <f t="shared" si="0"/>
        <v>0</v>
      </c>
      <c r="L50" s="80"/>
    </row>
    <row r="51" spans="1:12" ht="15" customHeight="1">
      <c r="A51" s="90"/>
      <c r="B51" s="68" t="s">
        <v>101</v>
      </c>
      <c r="C51" s="69"/>
      <c r="D51" s="58">
        <v>0</v>
      </c>
      <c r="E51" s="58">
        <v>0</v>
      </c>
      <c r="F51" s="76"/>
      <c r="G51" s="76"/>
      <c r="H51" s="76"/>
      <c r="I51" s="76"/>
      <c r="J51" s="55">
        <f t="shared" si="1"/>
        <v>0</v>
      </c>
      <c r="K51" s="55">
        <f t="shared" si="0"/>
        <v>0</v>
      </c>
      <c r="L51" s="80"/>
    </row>
    <row r="52" spans="1:12" ht="15" customHeight="1">
      <c r="A52" s="90"/>
      <c r="B52" s="68" t="s">
        <v>101</v>
      </c>
      <c r="C52" s="69"/>
      <c r="D52" s="76">
        <v>0</v>
      </c>
      <c r="E52" s="77">
        <v>0</v>
      </c>
      <c r="F52" s="76"/>
      <c r="G52" s="76"/>
      <c r="H52" s="76"/>
      <c r="I52" s="76"/>
      <c r="J52" s="55">
        <f t="shared" si="1"/>
        <v>0</v>
      </c>
      <c r="K52" s="55">
        <f t="shared" si="0"/>
        <v>0</v>
      </c>
      <c r="L52" s="80"/>
    </row>
    <row r="53" spans="1:12" ht="15" customHeight="1">
      <c r="A53" s="90"/>
      <c r="B53" s="68" t="s">
        <v>101</v>
      </c>
      <c r="C53" s="69"/>
      <c r="D53" s="76">
        <v>0</v>
      </c>
      <c r="E53" s="77">
        <v>0</v>
      </c>
      <c r="F53" s="76"/>
      <c r="G53" s="76"/>
      <c r="H53" s="76"/>
      <c r="I53" s="76"/>
      <c r="J53" s="55">
        <f t="shared" si="1"/>
        <v>0</v>
      </c>
      <c r="K53" s="55">
        <f t="shared" si="0"/>
        <v>0</v>
      </c>
      <c r="L53" s="80"/>
    </row>
    <row r="54" spans="1:12" ht="15" customHeight="1">
      <c r="A54" s="91"/>
      <c r="B54" s="68" t="s">
        <v>101</v>
      </c>
      <c r="C54" s="69"/>
      <c r="D54" s="76">
        <v>0</v>
      </c>
      <c r="E54" s="77">
        <v>1</v>
      </c>
      <c r="F54" s="76"/>
      <c r="G54" s="76"/>
      <c r="H54" s="76"/>
      <c r="I54" s="76"/>
      <c r="J54" s="55">
        <f t="shared" si="1"/>
        <v>0</v>
      </c>
      <c r="K54" s="55">
        <f t="shared" si="0"/>
        <v>0</v>
      </c>
      <c r="L54" s="80"/>
    </row>
    <row r="55" spans="1:12">
      <c r="A55" s="70" t="s">
        <v>56</v>
      </c>
      <c r="B55" s="70"/>
      <c r="C55" s="70"/>
      <c r="D55" s="70"/>
      <c r="E55" s="70"/>
      <c r="F55" s="70"/>
      <c r="G55" s="70"/>
      <c r="H55" s="70"/>
      <c r="I55" s="70"/>
      <c r="J55" s="71">
        <f>SUM(J15:J54)</f>
        <v>209087.97325000001</v>
      </c>
      <c r="K55" s="71">
        <f>SUM(K15:K54)</f>
        <v>171179.02100000001</v>
      </c>
    </row>
    <row r="56" spans="1:12">
      <c r="A56" s="92" t="s">
        <v>18</v>
      </c>
      <c r="B56" s="81" t="s">
        <v>127</v>
      </c>
      <c r="C56" s="81" t="s">
        <v>25</v>
      </c>
      <c r="D56" s="88">
        <f>D$15+D$16+D$17+D$19+D$18</f>
        <v>0</v>
      </c>
      <c r="E56" s="88">
        <f>E$15+E$16+E$17+E$19+E$18</f>
        <v>1550</v>
      </c>
      <c r="F56" s="72">
        <v>1</v>
      </c>
      <c r="G56" s="72"/>
      <c r="H56" s="72"/>
      <c r="I56" s="72"/>
      <c r="J56" s="55">
        <f>IFERROR((INDEX(Priser!F:F,MATCH(Beregningsark!$B:$B,Priser!$B:$B,0))*INDEX(Priser!D:D,MATCH(Beregningsark!$B:$B,Priser!$B:$B,0)))*($E56-$D56),0)</f>
        <v>20863.61889168881</v>
      </c>
      <c r="K56" s="55">
        <f>IFERROR((INDEX(Priser!G:G,MATCH(Beregningsark!$B:$B,Priser!$B:$B,0))/INDEX(Priser!E:E,MATCH(Beregningsark!$B:$B,Priser!$B:$B,0)))*($E56-$D56),0)</f>
        <v>0</v>
      </c>
      <c r="L56" s="73"/>
    </row>
    <row r="57" spans="1:12">
      <c r="A57" s="93"/>
      <c r="B57" s="81" t="s">
        <v>102</v>
      </c>
      <c r="C57" s="81" t="s">
        <v>25</v>
      </c>
      <c r="D57" s="88">
        <f t="shared" ref="D57:E58" si="2">D$15+D$16+D$17+D$19+D$18</f>
        <v>0</v>
      </c>
      <c r="E57" s="88">
        <f t="shared" si="2"/>
        <v>1550</v>
      </c>
      <c r="F57" s="72">
        <v>1</v>
      </c>
      <c r="G57" s="72"/>
      <c r="H57" s="72"/>
      <c r="I57" s="72"/>
      <c r="J57" s="55">
        <f>IFERROR((INDEX(Priser!F:F,MATCH(Beregningsark!$B:$B,Priser!$B:$B,0))*INDEX(Priser!D:D,MATCH(Beregningsark!$B:$B,Priser!$B:$B,0)))*($E57-$D57),0)</f>
        <v>26733.177501302769</v>
      </c>
      <c r="K57" s="55">
        <f>IFERROR((INDEX(Priser!G:G,MATCH(Beregningsark!$B:$B,Priser!$B:$B,0))/INDEX(Priser!E:E,MATCH(Beregningsark!$B:$B,Priser!$B:$B,0)))*($E57-$D57),0)</f>
        <v>0</v>
      </c>
      <c r="L57" s="73"/>
    </row>
    <row r="58" spans="1:12">
      <c r="A58" s="94"/>
      <c r="B58" s="81" t="s">
        <v>128</v>
      </c>
      <c r="C58" s="81" t="s">
        <v>25</v>
      </c>
      <c r="D58" s="88">
        <f t="shared" si="2"/>
        <v>0</v>
      </c>
      <c r="E58" s="88">
        <f t="shared" si="2"/>
        <v>1550</v>
      </c>
      <c r="F58" s="72">
        <v>1</v>
      </c>
      <c r="G58" s="72"/>
      <c r="H58" s="72"/>
      <c r="I58" s="72"/>
      <c r="J58" s="55">
        <f>IFERROR((INDEX(Priser!F:F,MATCH(Beregningsark!$B:$B,Priser!$B:$B,0))*INDEX(Priser!D:D,MATCH(Beregningsark!$B:$B,Priser!$B:$B,0)))*($E58-$D58),0)</f>
        <v>146411.32670627534</v>
      </c>
      <c r="K58" s="55">
        <f>IFERROR((INDEX(Priser!G:G,MATCH(Beregningsark!$B:$B,Priser!$B:$B,0))/INDEX(Priser!E:E,MATCH(Beregningsark!$B:$B,Priser!$B:$B,0)))*($E58-$D58),0)</f>
        <v>0</v>
      </c>
      <c r="L58" s="73"/>
    </row>
    <row r="59" spans="1:12">
      <c r="A59" s="70" t="s">
        <v>57</v>
      </c>
      <c r="B59" s="70"/>
      <c r="C59" s="70"/>
      <c r="D59" s="70"/>
      <c r="E59" s="70"/>
      <c r="F59" s="70"/>
      <c r="G59" s="70"/>
      <c r="H59" s="70"/>
      <c r="I59" s="70"/>
      <c r="J59" s="71">
        <f>SUM(J56:J58)</f>
        <v>194008.12309926693</v>
      </c>
      <c r="K59" s="71">
        <f>SUM(K56:K58)</f>
        <v>0</v>
      </c>
      <c r="L59" s="73"/>
    </row>
    <row r="60" spans="1:12">
      <c r="A60" s="70" t="s">
        <v>49</v>
      </c>
      <c r="B60" s="70"/>
      <c r="C60" s="70"/>
      <c r="D60" s="70"/>
      <c r="E60" s="70"/>
      <c r="F60" s="70"/>
      <c r="G60" s="70"/>
      <c r="H60" s="70"/>
      <c r="I60" s="70"/>
      <c r="J60" s="71">
        <f>J55+J59</f>
        <v>403096.09634926694</v>
      </c>
      <c r="K60" s="71">
        <f>K55+K59</f>
        <v>171179.02100000001</v>
      </c>
    </row>
    <row r="62" spans="1:12">
      <c r="A62" s="9"/>
    </row>
    <row r="65" spans="1:2">
      <c r="A65" s="43" t="s">
        <v>53</v>
      </c>
      <c r="B65" s="34"/>
    </row>
    <row r="66" spans="1:2">
      <c r="A66" s="72" t="s">
        <v>25</v>
      </c>
      <c r="B66" s="74">
        <f>SUMIFS($J$15:$J$58,$C$15:$C$58,A66)+SUMIFS($K$15:$K$58,$C$15:$C$58,A66)</f>
        <v>481775.11734926695</v>
      </c>
    </row>
    <row r="67" spans="1:2">
      <c r="A67" s="72" t="s">
        <v>34</v>
      </c>
      <c r="B67" s="74">
        <f>SUMIFS($J$15:$J$58,$C$15:$C$58,A67)+SUMIFS($K$15:$K$58,$C$15:$C$58,A67)</f>
        <v>92500</v>
      </c>
    </row>
    <row r="68" spans="1:2">
      <c r="A68" s="72" t="s">
        <v>35</v>
      </c>
      <c r="B68" s="74">
        <f>SUMIFS($J$15:$J$58,$C$15:$C$58,A68)+SUMIFS($K$15:$K$58,$C$15:$C$58,A68)</f>
        <v>0</v>
      </c>
    </row>
    <row r="69" spans="1:2">
      <c r="A69" s="72" t="s">
        <v>32</v>
      </c>
      <c r="B69" s="74">
        <f>SUMIFS($J$15:$J$58,$C$15:$C$58,A69)+SUMIFS($K$15:$K$58,$C$15:$C$58,A69)</f>
        <v>0</v>
      </c>
    </row>
    <row r="70" spans="1:2">
      <c r="A70" s="72" t="s">
        <v>38</v>
      </c>
      <c r="B70" s="74">
        <f>SUMIFS($J$15:$J$58,$C$15:$C$58,A70)+SUMIFS($K$15:$K$58,$C$15:$C$58,A70)</f>
        <v>0</v>
      </c>
    </row>
    <row r="71" spans="1:2">
      <c r="A71" s="15" t="s">
        <v>4</v>
      </c>
      <c r="B71" s="16">
        <f>SUM(B66:B70)</f>
        <v>574275.11734926701</v>
      </c>
    </row>
  </sheetData>
  <protectedRanges>
    <protectedRange algorithmName="SHA-512" hashValue="Ubs/IsmstJ1prKd3UoctGezhHvuqW5fHWtv/SFBGzE02wvMEQyZOIhkSD/0p0dFVqgixtbxQKAM/UDy41v83gQ==" saltValue="FVvaF99004M/yT0CC2fDWw==" spinCount="100000" sqref="D56:K58" name="Driftskostnader"/>
  </protectedRanges>
  <autoFilter ref="A14:K55" xr:uid="{00000000-0009-0000-0000-000000000000}"/>
  <mergeCells count="8">
    <mergeCell ref="A48:A54"/>
    <mergeCell ref="A56:A58"/>
    <mergeCell ref="A15:A22"/>
    <mergeCell ref="A40:A46"/>
    <mergeCell ref="A23:A26"/>
    <mergeCell ref="A27:A33"/>
    <mergeCell ref="A34:A35"/>
    <mergeCell ref="A36:A39"/>
  </mergeCells>
  <dataValidations count="1">
    <dataValidation allowBlank="1" showInputMessage="1" showErrorMessage="1" prompt="Ikke reklamefinansierte" sqref="B42:B43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Validering!$C$4:$C$19</xm:f>
          </x14:formula1>
          <xm:sqref>B9</xm:sqref>
        </x14:dataValidation>
        <x14:dataValidation type="list" allowBlank="1" showInputMessage="1" showErrorMessage="1" xr:uid="{00000000-0002-0000-0000-000002000000}">
          <x14:formula1>
            <xm:f>Validering!$A$4:$A$8</xm:f>
          </x14:formula1>
          <xm:sqref>C15:C30 C46 C32:C44</xm:sqref>
        </x14:dataValidation>
        <x14:dataValidation type="list" allowBlank="1" showInputMessage="1" showErrorMessage="1" xr:uid="{9B0615B2-D1F6-4FA3-8CF4-3583FC06AD9C}">
          <x14:formula1>
            <xm:f>Validering!$A$4:$A$9</xm:f>
          </x14:formula1>
          <xm:sqref>C31 C45 C47:C54</xm:sqref>
        </x14:dataValidation>
        <x14:dataValidation type="list" allowBlank="1" showInputMessage="1" showErrorMessage="1" xr:uid="{00CF275C-12A8-4334-871A-65C63485586B}">
          <x14:formula1>
            <xm:f>Validering!$E$4:$E$5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7"/>
  <sheetViews>
    <sheetView showGridLines="0" topLeftCell="B1" zoomScale="70" zoomScaleNormal="70" workbookViewId="0">
      <selection activeCell="R1" sqref="R1:R1048576"/>
    </sheetView>
  </sheetViews>
  <sheetFormatPr baseColWidth="10" defaultRowHeight="14" outlineLevelCol="1"/>
  <cols>
    <col min="1" max="1" width="19.33203125" customWidth="1"/>
    <col min="2" max="2" width="35.58203125" customWidth="1"/>
    <col min="3" max="3" width="21.5" customWidth="1" outlineLevel="1"/>
    <col min="4" max="4" width="19.08203125" bestFit="1" customWidth="1"/>
    <col min="5" max="5" width="14.25" bestFit="1" customWidth="1"/>
    <col min="6" max="6" width="17.83203125" customWidth="1"/>
    <col min="7" max="7" width="20" customWidth="1"/>
    <col min="8" max="9" width="11" hidden="1" customWidth="1" outlineLevel="1"/>
    <col min="10" max="10" width="13.33203125" hidden="1" customWidth="1" outlineLevel="1"/>
    <col min="11" max="11" width="11" hidden="1" customWidth="1" outlineLevel="1"/>
    <col min="12" max="12" width="18.25" hidden="1" customWidth="1" outlineLevel="1"/>
    <col min="13" max="16" width="11" hidden="1" customWidth="1" outlineLevel="1"/>
    <col min="17" max="17" width="20.25" hidden="1" customWidth="1" outlineLevel="1"/>
    <col min="18" max="18" width="68.5" hidden="1" customWidth="1" collapsed="1"/>
  </cols>
  <sheetData>
    <row r="1" spans="1:18" ht="20">
      <c r="A1" s="8" t="s">
        <v>58</v>
      </c>
    </row>
    <row r="2" spans="1:18" ht="20">
      <c r="A2" s="8"/>
      <c r="F2" s="7"/>
    </row>
    <row r="3" spans="1:18">
      <c r="A3" s="12" t="s">
        <v>59</v>
      </c>
      <c r="F3" s="7"/>
    </row>
    <row r="4" spans="1:18">
      <c r="A4" s="25">
        <v>1</v>
      </c>
      <c r="D4" s="7"/>
      <c r="F4" s="7"/>
      <c r="G4" s="7" t="s">
        <v>115</v>
      </c>
      <c r="H4" s="1">
        <v>0.1399</v>
      </c>
      <c r="I4" s="1">
        <v>0.1308</v>
      </c>
      <c r="J4" s="1">
        <v>0.1512</v>
      </c>
      <c r="K4" s="1">
        <v>0.1308</v>
      </c>
    </row>
    <row r="5" spans="1:18">
      <c r="E5" s="7"/>
      <c r="H5" s="13" t="s">
        <v>39</v>
      </c>
      <c r="I5" s="13"/>
      <c r="J5" s="13"/>
      <c r="K5" s="13"/>
      <c r="L5" s="13"/>
      <c r="M5" s="103" t="s">
        <v>40</v>
      </c>
      <c r="N5" s="103"/>
      <c r="O5" s="103"/>
      <c r="P5" s="103"/>
      <c r="Q5" s="103"/>
    </row>
    <row r="6" spans="1:18" ht="28">
      <c r="A6" s="19" t="s">
        <v>76</v>
      </c>
      <c r="B6" s="19" t="s">
        <v>3</v>
      </c>
      <c r="C6" s="19" t="s">
        <v>26</v>
      </c>
      <c r="D6" s="19" t="s">
        <v>33</v>
      </c>
      <c r="E6" s="19" t="s">
        <v>1</v>
      </c>
      <c r="F6" s="24" t="s">
        <v>61</v>
      </c>
      <c r="G6" s="24" t="s">
        <v>62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60</v>
      </c>
      <c r="M6" s="20" t="s">
        <v>14</v>
      </c>
      <c r="N6" s="20" t="s">
        <v>15</v>
      </c>
      <c r="O6" s="20" t="s">
        <v>16</v>
      </c>
      <c r="P6" s="20" t="s">
        <v>17</v>
      </c>
      <c r="Q6" s="20" t="s">
        <v>60</v>
      </c>
      <c r="R6" s="20" t="s">
        <v>63</v>
      </c>
    </row>
    <row r="7" spans="1:18">
      <c r="A7" s="39" t="s">
        <v>27</v>
      </c>
      <c r="B7" s="39" t="s">
        <v>72</v>
      </c>
      <c r="C7" s="39" t="s">
        <v>25</v>
      </c>
      <c r="D7" s="17">
        <v>0.05</v>
      </c>
      <c r="E7" s="17">
        <v>15</v>
      </c>
      <c r="F7" s="6">
        <f>IFERROR(AVERAGE(H7:L7),0)*$A$4</f>
        <v>383.42149999999998</v>
      </c>
      <c r="G7" s="6">
        <f>IFERROR(AVERAGE(M7:Q7),0)*$A$4</f>
        <v>383.42149999999998</v>
      </c>
      <c r="H7" s="27">
        <f>275*(1+H4)</f>
        <v>313.47249999999997</v>
      </c>
      <c r="I7" s="27">
        <f>365*(1+I4)</f>
        <v>412.74200000000002</v>
      </c>
      <c r="J7" s="18"/>
      <c r="K7" s="27">
        <f>375*(1+K4)</f>
        <v>424.05</v>
      </c>
      <c r="L7" s="18"/>
      <c r="M7" s="27">
        <f t="shared" ref="M7:N9" si="0">H7</f>
        <v>313.47249999999997</v>
      </c>
      <c r="N7" s="27">
        <f t="shared" si="0"/>
        <v>412.74200000000002</v>
      </c>
      <c r="O7" s="18"/>
      <c r="P7" s="27">
        <f>K7</f>
        <v>424.05</v>
      </c>
      <c r="Q7" s="18"/>
      <c r="R7" s="32" t="s">
        <v>106</v>
      </c>
    </row>
    <row r="8" spans="1:18">
      <c r="A8" s="39" t="s">
        <v>27</v>
      </c>
      <c r="B8" s="39" t="s">
        <v>71</v>
      </c>
      <c r="C8" s="39" t="s">
        <v>25</v>
      </c>
      <c r="D8" s="17">
        <v>0.03</v>
      </c>
      <c r="E8" s="17">
        <v>20</v>
      </c>
      <c r="F8" s="6">
        <f t="shared" ref="F8:F47" si="1">IFERROR(AVERAGE(H8:L8),0)*$A$4</f>
        <v>336.07733333333334</v>
      </c>
      <c r="G8" s="6">
        <f t="shared" ref="G8:G46" si="2">IFERROR(AVERAGE(M8:Q8),0)*$A$4</f>
        <v>336.07733333333334</v>
      </c>
      <c r="H8" s="27">
        <f>200*(1+H4)</f>
        <v>227.98</v>
      </c>
      <c r="I8" s="27">
        <f>365*(1+I4)</f>
        <v>412.74200000000002</v>
      </c>
      <c r="J8" s="18"/>
      <c r="K8" s="27">
        <f>325*(1+K4)</f>
        <v>367.51</v>
      </c>
      <c r="L8" s="18"/>
      <c r="M8" s="27">
        <f t="shared" si="0"/>
        <v>227.98</v>
      </c>
      <c r="N8" s="27">
        <f t="shared" si="0"/>
        <v>412.74200000000002</v>
      </c>
      <c r="O8" s="18"/>
      <c r="P8" s="27">
        <f t="shared" ref="P8:P13" si="3">K8</f>
        <v>367.51</v>
      </c>
      <c r="Q8" s="18"/>
      <c r="R8" s="32" t="s">
        <v>107</v>
      </c>
    </row>
    <row r="9" spans="1:18">
      <c r="A9" s="39" t="s">
        <v>27</v>
      </c>
      <c r="B9" s="39" t="s">
        <v>73</v>
      </c>
      <c r="C9" s="39" t="s">
        <v>25</v>
      </c>
      <c r="D9" s="17">
        <v>0.01</v>
      </c>
      <c r="E9" s="17">
        <v>25</v>
      </c>
      <c r="F9" s="6">
        <f t="shared" si="1"/>
        <v>309.82850000000002</v>
      </c>
      <c r="G9" s="6">
        <f t="shared" si="2"/>
        <v>309.82850000000002</v>
      </c>
      <c r="H9" s="27">
        <f>245*(1+H4)</f>
        <v>279.27549999999997</v>
      </c>
      <c r="I9" s="27">
        <f>250*(1+I4)</f>
        <v>282.7</v>
      </c>
      <c r="J9" s="18"/>
      <c r="K9" s="27">
        <f>325*(1+K4)</f>
        <v>367.51</v>
      </c>
      <c r="L9" s="18"/>
      <c r="M9" s="27">
        <f t="shared" si="0"/>
        <v>279.27549999999997</v>
      </c>
      <c r="N9" s="27">
        <f t="shared" si="0"/>
        <v>282.7</v>
      </c>
      <c r="O9" s="18"/>
      <c r="P9" s="27">
        <f t="shared" si="3"/>
        <v>367.51</v>
      </c>
      <c r="Q9" s="26"/>
      <c r="R9" s="32"/>
    </row>
    <row r="10" spans="1:18">
      <c r="A10" s="39" t="s">
        <v>27</v>
      </c>
      <c r="B10" s="39" t="s">
        <v>124</v>
      </c>
      <c r="C10" s="39" t="s">
        <v>25</v>
      </c>
      <c r="D10" s="17">
        <v>0.15</v>
      </c>
      <c r="E10" s="17">
        <v>15</v>
      </c>
      <c r="F10" s="6">
        <f t="shared" si="1"/>
        <v>961.18000000000006</v>
      </c>
      <c r="G10" s="6">
        <f t="shared" si="2"/>
        <v>961.18000000000006</v>
      </c>
      <c r="H10" s="35"/>
      <c r="I10" s="18"/>
      <c r="J10" s="18"/>
      <c r="K10" s="27">
        <f>850*(1+K4)</f>
        <v>961.18000000000006</v>
      </c>
      <c r="L10" s="18"/>
      <c r="M10" s="18"/>
      <c r="N10" s="18"/>
      <c r="O10" s="18"/>
      <c r="P10" s="27">
        <f t="shared" si="3"/>
        <v>961.18000000000006</v>
      </c>
      <c r="Q10" s="18"/>
      <c r="R10" s="3"/>
    </row>
    <row r="11" spans="1:18">
      <c r="A11" s="39" t="s">
        <v>27</v>
      </c>
      <c r="B11" s="39" t="s">
        <v>74</v>
      </c>
      <c r="C11" s="39" t="s">
        <v>25</v>
      </c>
      <c r="D11" s="17">
        <v>0.15</v>
      </c>
      <c r="E11" s="17">
        <v>15</v>
      </c>
      <c r="F11" s="6">
        <f t="shared" si="1"/>
        <v>511.23545000000001</v>
      </c>
      <c r="G11" s="6">
        <f t="shared" si="2"/>
        <v>511.23545000000001</v>
      </c>
      <c r="H11" s="35"/>
      <c r="I11" s="18"/>
      <c r="J11" s="18"/>
      <c r="K11" s="36">
        <f>588*(1+K4)</f>
        <v>664.91039999999998</v>
      </c>
      <c r="L11" s="27">
        <f>((3426.14+3725.07)/2)/1000*100</f>
        <v>357.56049999999999</v>
      </c>
      <c r="M11" s="18"/>
      <c r="N11" s="18"/>
      <c r="O11" s="18"/>
      <c r="P11" s="27">
        <f>K11</f>
        <v>664.91039999999998</v>
      </c>
      <c r="Q11" s="27">
        <f>L11</f>
        <v>357.56049999999999</v>
      </c>
      <c r="R11" s="3" t="s">
        <v>132</v>
      </c>
    </row>
    <row r="12" spans="1:18">
      <c r="A12" s="39" t="s">
        <v>27</v>
      </c>
      <c r="B12" s="39" t="s">
        <v>10</v>
      </c>
      <c r="C12" s="39" t="s">
        <v>25</v>
      </c>
      <c r="D12" s="17">
        <v>0.02</v>
      </c>
      <c r="E12" s="17">
        <v>20</v>
      </c>
      <c r="F12" s="6">
        <f t="shared" si="1"/>
        <v>1178.4435000000001</v>
      </c>
      <c r="G12" s="6">
        <f t="shared" si="2"/>
        <v>1178.4435000000001</v>
      </c>
      <c r="H12" s="36">
        <f>795*(1+H4)</f>
        <v>906.2204999999999</v>
      </c>
      <c r="I12" s="27">
        <f>900*(1+I4)</f>
        <v>1017.72</v>
      </c>
      <c r="J12" s="18"/>
      <c r="K12" s="27">
        <f>1425*(1+K4)</f>
        <v>1611.39</v>
      </c>
      <c r="L12" s="18"/>
      <c r="M12" s="27">
        <f>H12</f>
        <v>906.2204999999999</v>
      </c>
      <c r="N12" s="27">
        <f>I12</f>
        <v>1017.72</v>
      </c>
      <c r="O12" s="18"/>
      <c r="P12" s="27">
        <f t="shared" si="3"/>
        <v>1611.39</v>
      </c>
      <c r="Q12" s="18"/>
      <c r="R12" s="3"/>
    </row>
    <row r="13" spans="1:18">
      <c r="A13" s="39" t="s">
        <v>27</v>
      </c>
      <c r="B13" s="39" t="s">
        <v>113</v>
      </c>
      <c r="C13" s="39" t="s">
        <v>25</v>
      </c>
      <c r="D13" s="17">
        <v>0.15</v>
      </c>
      <c r="E13" s="17">
        <v>15</v>
      </c>
      <c r="F13" s="6">
        <f t="shared" si="1"/>
        <v>735.02</v>
      </c>
      <c r="G13" s="6">
        <f t="shared" si="2"/>
        <v>735.02</v>
      </c>
      <c r="H13" s="18"/>
      <c r="I13" s="18"/>
      <c r="J13" s="18"/>
      <c r="K13" s="27">
        <f>650*(1+K4)</f>
        <v>735.02</v>
      </c>
      <c r="L13" s="18"/>
      <c r="M13" s="18"/>
      <c r="N13" s="18"/>
      <c r="O13" s="18"/>
      <c r="P13" s="27">
        <f t="shared" si="3"/>
        <v>735.02</v>
      </c>
      <c r="Q13" s="18"/>
      <c r="R13" s="3"/>
    </row>
    <row r="14" spans="1:18">
      <c r="A14" s="39" t="s">
        <v>27</v>
      </c>
      <c r="B14" s="39" t="s">
        <v>116</v>
      </c>
      <c r="C14" s="39" t="s">
        <v>25</v>
      </c>
      <c r="D14" s="17">
        <v>0.15</v>
      </c>
      <c r="E14" s="17">
        <v>15</v>
      </c>
      <c r="F14" s="6">
        <f t="shared" si="1"/>
        <v>1800</v>
      </c>
      <c r="G14" s="6">
        <f t="shared" si="2"/>
        <v>1800</v>
      </c>
      <c r="H14" s="18"/>
      <c r="I14" s="18"/>
      <c r="J14" s="18"/>
      <c r="K14" s="35"/>
      <c r="L14" s="27">
        <v>1800</v>
      </c>
      <c r="M14" s="18"/>
      <c r="N14" s="18"/>
      <c r="O14" s="18"/>
      <c r="P14" s="26"/>
      <c r="Q14" s="27">
        <v>1800</v>
      </c>
      <c r="R14" s="3" t="s">
        <v>133</v>
      </c>
    </row>
    <row r="15" spans="1:18">
      <c r="A15" s="39" t="s">
        <v>31</v>
      </c>
      <c r="B15" s="39" t="s">
        <v>44</v>
      </c>
      <c r="C15" s="39" t="s">
        <v>25</v>
      </c>
      <c r="D15" s="17">
        <v>0</v>
      </c>
      <c r="E15" s="17">
        <v>7</v>
      </c>
      <c r="F15" s="6">
        <f t="shared" si="1"/>
        <v>0</v>
      </c>
      <c r="G15" s="6">
        <f t="shared" si="2"/>
        <v>32.966999999999999</v>
      </c>
      <c r="H15" s="31"/>
      <c r="I15" s="31"/>
      <c r="J15" s="31"/>
      <c r="K15" s="31"/>
      <c r="L15" s="31"/>
      <c r="M15" s="31"/>
      <c r="N15" s="31"/>
      <c r="O15" s="31"/>
      <c r="P15" s="31"/>
      <c r="Q15" s="27">
        <f>27*(1+22.1%)</f>
        <v>32.966999999999999</v>
      </c>
      <c r="R15" s="3" t="s">
        <v>117</v>
      </c>
    </row>
    <row r="16" spans="1:18">
      <c r="A16" s="39" t="s">
        <v>31</v>
      </c>
      <c r="B16" s="39" t="s">
        <v>45</v>
      </c>
      <c r="C16" s="39" t="s">
        <v>25</v>
      </c>
      <c r="D16" s="17">
        <v>0</v>
      </c>
      <c r="E16" s="17">
        <v>7</v>
      </c>
      <c r="F16" s="6">
        <f t="shared" si="1"/>
        <v>0</v>
      </c>
      <c r="G16" s="6">
        <f t="shared" si="2"/>
        <v>32.152999999999999</v>
      </c>
      <c r="H16" s="31"/>
      <c r="I16" s="31"/>
      <c r="J16" s="31"/>
      <c r="K16" s="31"/>
      <c r="L16" s="31"/>
      <c r="M16" s="31"/>
      <c r="N16" s="31"/>
      <c r="O16" s="31"/>
      <c r="P16" s="31"/>
      <c r="Q16" s="27">
        <f>((19+27+33)/3)*(1+22.1%)</f>
        <v>32.152999999999999</v>
      </c>
      <c r="R16" s="3" t="s">
        <v>117</v>
      </c>
    </row>
    <row r="17" spans="1:18">
      <c r="A17" s="39" t="s">
        <v>31</v>
      </c>
      <c r="B17" s="39" t="s">
        <v>46</v>
      </c>
      <c r="C17" s="39" t="s">
        <v>25</v>
      </c>
      <c r="D17" s="17">
        <v>0</v>
      </c>
      <c r="E17" s="17">
        <v>5</v>
      </c>
      <c r="F17" s="6">
        <f t="shared" si="1"/>
        <v>0</v>
      </c>
      <c r="G17" s="6">
        <f t="shared" si="2"/>
        <v>106.227</v>
      </c>
      <c r="H17" s="31"/>
      <c r="I17" s="31"/>
      <c r="J17" s="31"/>
      <c r="K17" s="31"/>
      <c r="L17" s="31"/>
      <c r="M17" s="31"/>
      <c r="N17" s="31"/>
      <c r="O17" s="31"/>
      <c r="P17" s="31"/>
      <c r="Q17" s="27">
        <f>87*(1+22.1%)</f>
        <v>106.227</v>
      </c>
      <c r="R17" s="3" t="s">
        <v>117</v>
      </c>
    </row>
    <row r="18" spans="1:18">
      <c r="A18" s="39" t="s">
        <v>31</v>
      </c>
      <c r="B18" s="39" t="s">
        <v>51</v>
      </c>
      <c r="C18" s="39" t="s">
        <v>25</v>
      </c>
      <c r="D18" s="17">
        <v>0</v>
      </c>
      <c r="E18" s="17">
        <v>5</v>
      </c>
      <c r="F18" s="6">
        <f t="shared" si="1"/>
        <v>0</v>
      </c>
      <c r="G18" s="6">
        <f t="shared" si="2"/>
        <v>1831.5000000000002</v>
      </c>
      <c r="H18" s="31"/>
      <c r="I18" s="31"/>
      <c r="J18" s="31"/>
      <c r="K18" s="31"/>
      <c r="L18" s="31"/>
      <c r="M18" s="31"/>
      <c r="N18" s="31"/>
      <c r="O18" s="31"/>
      <c r="P18" s="31"/>
      <c r="Q18" s="27">
        <f>1500*(1+22.1%)</f>
        <v>1831.5000000000002</v>
      </c>
      <c r="R18" s="3" t="s">
        <v>117</v>
      </c>
    </row>
    <row r="19" spans="1:18">
      <c r="A19" s="39" t="s">
        <v>69</v>
      </c>
      <c r="B19" s="39" t="s">
        <v>13</v>
      </c>
      <c r="C19" s="39" t="s">
        <v>38</v>
      </c>
      <c r="D19" s="17">
        <v>1</v>
      </c>
      <c r="E19" s="17">
        <v>20</v>
      </c>
      <c r="F19" s="6">
        <f t="shared" si="1"/>
        <v>55</v>
      </c>
      <c r="G19" s="6">
        <f t="shared" si="2"/>
        <v>8000</v>
      </c>
      <c r="H19" s="31"/>
      <c r="I19" s="31"/>
      <c r="J19" s="31"/>
      <c r="K19" s="31"/>
      <c r="L19" s="27">
        <v>55</v>
      </c>
      <c r="M19" s="31"/>
      <c r="N19" s="31"/>
      <c r="O19" s="31"/>
      <c r="P19" s="31"/>
      <c r="Q19" s="37">
        <v>8000</v>
      </c>
      <c r="R19" s="3" t="s">
        <v>103</v>
      </c>
    </row>
    <row r="20" spans="1:18">
      <c r="A20" s="39" t="s">
        <v>69</v>
      </c>
      <c r="B20" s="39" t="s">
        <v>8</v>
      </c>
      <c r="C20" s="39" t="s">
        <v>25</v>
      </c>
      <c r="D20" s="17">
        <f>3*52</f>
        <v>156</v>
      </c>
      <c r="E20" s="17">
        <v>15</v>
      </c>
      <c r="F20" s="6">
        <f t="shared" si="1"/>
        <v>16.962</v>
      </c>
      <c r="G20" s="6">
        <f t="shared" si="2"/>
        <v>7000</v>
      </c>
      <c r="H20" s="18"/>
      <c r="I20" s="18"/>
      <c r="J20" s="18"/>
      <c r="K20" s="27">
        <f>15*(1+K4)</f>
        <v>16.962</v>
      </c>
      <c r="L20" s="31"/>
      <c r="M20" s="31"/>
      <c r="N20" s="31"/>
      <c r="O20" s="31"/>
      <c r="P20" s="27">
        <v>7000</v>
      </c>
      <c r="Q20" s="31"/>
      <c r="R20" s="3" t="s">
        <v>112</v>
      </c>
    </row>
    <row r="21" spans="1:18">
      <c r="A21" s="39" t="s">
        <v>69</v>
      </c>
      <c r="B21" s="42" t="s">
        <v>11</v>
      </c>
      <c r="C21" s="39" t="s">
        <v>100</v>
      </c>
      <c r="D21" s="17">
        <v>0.1</v>
      </c>
      <c r="E21" s="17">
        <v>15</v>
      </c>
      <c r="F21" s="6">
        <f t="shared" si="1"/>
        <v>1000</v>
      </c>
      <c r="G21" s="6">
        <f t="shared" si="2"/>
        <v>10000</v>
      </c>
      <c r="H21" s="31"/>
      <c r="I21" s="31"/>
      <c r="J21" s="31"/>
      <c r="K21" s="31"/>
      <c r="L21" s="18">
        <v>1000</v>
      </c>
      <c r="M21" s="31"/>
      <c r="N21" s="31"/>
      <c r="O21" s="31"/>
      <c r="P21" s="31"/>
      <c r="Q21" s="18">
        <v>10000</v>
      </c>
      <c r="R21" s="3" t="s">
        <v>108</v>
      </c>
    </row>
    <row r="22" spans="1:18">
      <c r="A22" s="39" t="s">
        <v>69</v>
      </c>
      <c r="B22" s="39" t="s">
        <v>12</v>
      </c>
      <c r="C22" s="39" t="s">
        <v>25</v>
      </c>
      <c r="D22" s="17">
        <v>0.1</v>
      </c>
      <c r="E22" s="17">
        <v>15</v>
      </c>
      <c r="F22" s="6">
        <f t="shared" si="1"/>
        <v>1000</v>
      </c>
      <c r="G22" s="6">
        <f t="shared" si="2"/>
        <v>15000</v>
      </c>
      <c r="H22" s="18"/>
      <c r="I22" s="18"/>
      <c r="J22" s="18"/>
      <c r="K22" s="18"/>
      <c r="L22" s="18">
        <v>1000</v>
      </c>
      <c r="M22" s="18"/>
      <c r="N22" s="18"/>
      <c r="O22" s="18"/>
      <c r="P22" s="18"/>
      <c r="Q22" s="18">
        <v>15000</v>
      </c>
      <c r="R22" s="3"/>
    </row>
    <row r="23" spans="1:18">
      <c r="A23" s="39" t="s">
        <v>69</v>
      </c>
      <c r="B23" s="39" t="s">
        <v>98</v>
      </c>
      <c r="C23" s="39" t="s">
        <v>25</v>
      </c>
      <c r="D23" s="17">
        <v>0.05</v>
      </c>
      <c r="E23" s="17">
        <v>15</v>
      </c>
      <c r="F23" s="6">
        <f t="shared" si="1"/>
        <v>6241.1526999999996</v>
      </c>
      <c r="G23" s="6">
        <f t="shared" si="2"/>
        <v>6241.1526999999996</v>
      </c>
      <c r="H23" s="27">
        <f>5183*(1+H4)</f>
        <v>5908.1016999999993</v>
      </c>
      <c r="I23" s="27">
        <f>5500*(1+I4)</f>
        <v>6219.4000000000005</v>
      </c>
      <c r="J23" s="18"/>
      <c r="K23" s="27">
        <f>5833*(1+K4)</f>
        <v>6595.9564</v>
      </c>
      <c r="L23" s="18"/>
      <c r="M23" s="27">
        <f t="shared" ref="M23:N25" si="4">H23</f>
        <v>5908.1016999999993</v>
      </c>
      <c r="N23" s="27">
        <f t="shared" si="4"/>
        <v>6219.4000000000005</v>
      </c>
      <c r="O23" s="18"/>
      <c r="P23" s="27">
        <f>K23</f>
        <v>6595.9564</v>
      </c>
      <c r="Q23" s="38"/>
      <c r="R23" s="3" t="s">
        <v>104</v>
      </c>
    </row>
    <row r="24" spans="1:18">
      <c r="A24" s="39" t="s">
        <v>69</v>
      </c>
      <c r="B24" s="39" t="s">
        <v>114</v>
      </c>
      <c r="C24" s="39" t="s">
        <v>25</v>
      </c>
      <c r="D24" s="17">
        <v>0.05</v>
      </c>
      <c r="E24" s="17">
        <v>15</v>
      </c>
      <c r="F24" s="6">
        <f t="shared" si="1"/>
        <v>9046.4</v>
      </c>
      <c r="G24" s="6">
        <f>IFERROR(AVERAGE(M24:Q24),0)*$A$4</f>
        <v>9046.4</v>
      </c>
      <c r="H24" s="27"/>
      <c r="I24" s="27"/>
      <c r="J24" s="18"/>
      <c r="K24" s="27">
        <f>8000*(1+K4)</f>
        <v>9046.4</v>
      </c>
      <c r="L24" s="18"/>
      <c r="M24" s="18"/>
      <c r="N24" s="18"/>
      <c r="O24" s="18"/>
      <c r="P24" s="27">
        <f>K24</f>
        <v>9046.4</v>
      </c>
      <c r="Q24" s="26"/>
      <c r="R24" s="3" t="s">
        <v>130</v>
      </c>
    </row>
    <row r="25" spans="1:18">
      <c r="A25" s="39" t="s">
        <v>69</v>
      </c>
      <c r="B25" s="39" t="s">
        <v>118</v>
      </c>
      <c r="C25" s="39" t="s">
        <v>25</v>
      </c>
      <c r="D25" s="86">
        <v>0.05</v>
      </c>
      <c r="E25" s="17">
        <v>10</v>
      </c>
      <c r="F25" s="6">
        <f t="shared" si="1"/>
        <v>1585.8499999999997</v>
      </c>
      <c r="G25" s="6">
        <f t="shared" si="2"/>
        <v>1585.8499999999997</v>
      </c>
      <c r="H25" s="27">
        <f>900*(1+H4)</f>
        <v>1025.9099999999999</v>
      </c>
      <c r="I25" s="27">
        <f>1500*(1+I4)</f>
        <v>1696.2</v>
      </c>
      <c r="J25" s="18"/>
      <c r="K25" s="27">
        <f>1800*(1+K4)</f>
        <v>2035.44</v>
      </c>
      <c r="L25" s="18"/>
      <c r="M25" s="27">
        <f t="shared" si="4"/>
        <v>1025.9099999999999</v>
      </c>
      <c r="N25" s="27">
        <f t="shared" si="4"/>
        <v>1696.2</v>
      </c>
      <c r="O25" s="18"/>
      <c r="P25" s="27">
        <f>K25</f>
        <v>2035.44</v>
      </c>
      <c r="Q25" s="18"/>
      <c r="R25" s="3" t="s">
        <v>105</v>
      </c>
    </row>
    <row r="26" spans="1:18">
      <c r="A26" s="39" t="s">
        <v>52</v>
      </c>
      <c r="B26" s="39" t="s">
        <v>5</v>
      </c>
      <c r="C26" s="39" t="s">
        <v>25</v>
      </c>
      <c r="D26" s="17">
        <v>0.5</v>
      </c>
      <c r="E26" s="17">
        <v>25</v>
      </c>
      <c r="F26" s="6">
        <f t="shared" si="1"/>
        <v>555.81087500000001</v>
      </c>
      <c r="G26" s="6">
        <f t="shared" si="2"/>
        <v>52000</v>
      </c>
      <c r="H26" s="27">
        <f>525*(1+H4)</f>
        <v>598.44749999999999</v>
      </c>
      <c r="I26" s="27">
        <f>450*(1+I4)</f>
        <v>508.86</v>
      </c>
      <c r="J26" s="27">
        <f>380*(1+J4)</f>
        <v>437.45600000000002</v>
      </c>
      <c r="K26" s="36">
        <f>600*(1+K4)</f>
        <v>678.48</v>
      </c>
      <c r="L26" s="18"/>
      <c r="M26" s="26"/>
      <c r="N26" s="18"/>
      <c r="O26" s="18"/>
      <c r="P26" s="18"/>
      <c r="Q26" s="6">
        <v>52000</v>
      </c>
      <c r="R26" s="3" t="s">
        <v>125</v>
      </c>
    </row>
    <row r="27" spans="1:18">
      <c r="A27" s="39" t="s">
        <v>52</v>
      </c>
      <c r="B27" s="39" t="s">
        <v>19</v>
      </c>
      <c r="C27" s="39" t="s">
        <v>25</v>
      </c>
      <c r="D27" s="17">
        <v>0.05</v>
      </c>
      <c r="E27" s="17">
        <v>25</v>
      </c>
      <c r="F27" s="6">
        <f t="shared" si="1"/>
        <v>50</v>
      </c>
      <c r="G27" s="6">
        <f t="shared" si="2"/>
        <v>2000</v>
      </c>
      <c r="H27" s="18"/>
      <c r="I27" s="18"/>
      <c r="J27" s="18"/>
      <c r="K27" s="18"/>
      <c r="L27" s="18">
        <v>50</v>
      </c>
      <c r="M27" s="18"/>
      <c r="N27" s="18"/>
      <c r="O27" s="18"/>
      <c r="P27" s="18"/>
      <c r="Q27" s="18">
        <v>2000</v>
      </c>
      <c r="R27" s="3"/>
    </row>
    <row r="28" spans="1:18">
      <c r="A28" s="39" t="s">
        <v>28</v>
      </c>
      <c r="B28" s="39" t="s">
        <v>9</v>
      </c>
      <c r="C28" s="39" t="s">
        <v>25</v>
      </c>
      <c r="D28" s="17">
        <v>2</v>
      </c>
      <c r="E28" s="17">
        <v>0</v>
      </c>
      <c r="F28" s="6">
        <f t="shared" si="1"/>
        <v>1.8143433333333334</v>
      </c>
      <c r="G28" s="6">
        <f t="shared" si="2"/>
        <v>0</v>
      </c>
      <c r="H28" s="30">
        <f>(100/1000)*(1+H4)</f>
        <v>0.11398999999999999</v>
      </c>
      <c r="I28" s="27"/>
      <c r="J28" s="27">
        <f>700/1000*(1+J4)</f>
        <v>0.80584</v>
      </c>
      <c r="K28" s="27">
        <f>(4000/1000)*(1+K4)</f>
        <v>4.5232000000000001</v>
      </c>
      <c r="L28" s="18"/>
      <c r="M28" s="18"/>
      <c r="N28" s="18"/>
      <c r="O28" s="18"/>
      <c r="P28" s="26"/>
      <c r="Q28" s="18"/>
      <c r="R28" s="3"/>
    </row>
    <row r="29" spans="1:18">
      <c r="A29" s="39" t="s">
        <v>28</v>
      </c>
      <c r="B29" s="39" t="s">
        <v>7</v>
      </c>
      <c r="C29" s="39" t="s">
        <v>25</v>
      </c>
      <c r="D29" s="17">
        <v>3</v>
      </c>
      <c r="E29" s="17">
        <v>50</v>
      </c>
      <c r="F29" s="6">
        <f t="shared" si="1"/>
        <v>3.1991703333333334</v>
      </c>
      <c r="G29" s="6">
        <f t="shared" si="2"/>
        <v>0</v>
      </c>
      <c r="H29" s="30">
        <f>0.89*(1+H4)</f>
        <v>1.0145109999999999</v>
      </c>
      <c r="I29" s="27"/>
      <c r="J29" s="27">
        <f>5*(1+J4)</f>
        <v>5.7560000000000002</v>
      </c>
      <c r="K29" s="27">
        <f>2.5*(1+K4)</f>
        <v>2.827</v>
      </c>
      <c r="L29" s="18"/>
      <c r="M29" s="18"/>
      <c r="N29" s="18"/>
      <c r="O29" s="18"/>
      <c r="P29" s="26"/>
      <c r="Q29" s="18"/>
      <c r="R29" s="3"/>
    </row>
    <row r="30" spans="1:18">
      <c r="A30" s="39" t="s">
        <v>28</v>
      </c>
      <c r="B30" s="39" t="s">
        <v>6</v>
      </c>
      <c r="C30" s="39" t="s">
        <v>2</v>
      </c>
      <c r="D30" s="17">
        <v>1</v>
      </c>
      <c r="E30" s="17">
        <v>40</v>
      </c>
      <c r="F30" s="6">
        <f t="shared" si="1"/>
        <v>2700</v>
      </c>
      <c r="G30" s="6">
        <f t="shared" si="2"/>
        <v>35000</v>
      </c>
      <c r="H30" s="18"/>
      <c r="I30" s="18"/>
      <c r="J30" s="18"/>
      <c r="K30" s="18"/>
      <c r="L30" s="18">
        <v>2700</v>
      </c>
      <c r="M30" s="18"/>
      <c r="N30" s="18"/>
      <c r="O30" s="18"/>
      <c r="P30" s="26"/>
      <c r="Q30" s="18">
        <v>35000</v>
      </c>
      <c r="R30" s="3"/>
    </row>
    <row r="31" spans="1:18">
      <c r="A31" s="39" t="s">
        <v>28</v>
      </c>
      <c r="B31" s="39" t="s">
        <v>20</v>
      </c>
      <c r="C31" s="39" t="s">
        <v>25</v>
      </c>
      <c r="D31" s="17">
        <v>0.1</v>
      </c>
      <c r="E31" s="17">
        <v>50</v>
      </c>
      <c r="F31" s="6">
        <f t="shared" si="1"/>
        <v>0</v>
      </c>
      <c r="G31" s="6">
        <f t="shared" si="2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" t="s">
        <v>79</v>
      </c>
    </row>
    <row r="32" spans="1:18">
      <c r="A32" s="39" t="s">
        <v>29</v>
      </c>
      <c r="B32" s="39" t="s">
        <v>119</v>
      </c>
      <c r="C32" s="39" t="s">
        <v>34</v>
      </c>
      <c r="D32" s="17">
        <v>1</v>
      </c>
      <c r="E32" s="17">
        <v>15</v>
      </c>
      <c r="F32" s="6">
        <f t="shared" si="1"/>
        <v>1500</v>
      </c>
      <c r="G32" s="6">
        <f t="shared" si="2"/>
        <v>70000</v>
      </c>
      <c r="H32" s="31"/>
      <c r="I32" s="31"/>
      <c r="J32" s="31"/>
      <c r="K32" s="31"/>
      <c r="L32" s="27">
        <v>1500</v>
      </c>
      <c r="M32" s="31"/>
      <c r="N32" s="31"/>
      <c r="O32" s="31"/>
      <c r="P32" s="31"/>
      <c r="Q32" s="37">
        <v>70000</v>
      </c>
      <c r="R32" s="3"/>
    </row>
    <row r="33" spans="1:18">
      <c r="A33" s="39" t="s">
        <v>29</v>
      </c>
      <c r="B33" s="39" t="s">
        <v>64</v>
      </c>
      <c r="C33" s="39" t="s">
        <v>35</v>
      </c>
      <c r="D33" s="17">
        <v>1</v>
      </c>
      <c r="E33" s="17">
        <v>15</v>
      </c>
      <c r="F33" s="6">
        <f t="shared" si="1"/>
        <v>40000</v>
      </c>
      <c r="G33" s="6">
        <f t="shared" si="2"/>
        <v>400000</v>
      </c>
      <c r="H33" s="31"/>
      <c r="I33" s="31"/>
      <c r="J33" s="31"/>
      <c r="K33" s="31"/>
      <c r="L33" s="27">
        <v>40000</v>
      </c>
      <c r="M33" s="31"/>
      <c r="N33" s="31"/>
      <c r="O33" s="31"/>
      <c r="P33" s="31"/>
      <c r="Q33" s="27">
        <v>400000</v>
      </c>
      <c r="R33" s="3" t="s">
        <v>110</v>
      </c>
    </row>
    <row r="34" spans="1:18">
      <c r="A34" s="39" t="s">
        <v>29</v>
      </c>
      <c r="B34" s="39" t="s">
        <v>65</v>
      </c>
      <c r="C34" s="39" t="s">
        <v>35</v>
      </c>
      <c r="D34" s="17">
        <v>1</v>
      </c>
      <c r="E34" s="17">
        <v>10</v>
      </c>
      <c r="F34" s="6">
        <f t="shared" si="1"/>
        <v>50000</v>
      </c>
      <c r="G34" s="6">
        <f t="shared" si="2"/>
        <v>300000</v>
      </c>
      <c r="H34" s="31"/>
      <c r="I34" s="31"/>
      <c r="J34" s="31"/>
      <c r="K34" s="31"/>
      <c r="L34" s="27">
        <v>50000</v>
      </c>
      <c r="M34" s="31"/>
      <c r="N34" s="31"/>
      <c r="O34" s="31"/>
      <c r="P34" s="31"/>
      <c r="Q34" s="27">
        <v>300000</v>
      </c>
      <c r="R34" s="3" t="s">
        <v>111</v>
      </c>
    </row>
    <row r="35" spans="1:18">
      <c r="A35" s="39" t="s">
        <v>29</v>
      </c>
      <c r="B35" s="39" t="s">
        <v>66</v>
      </c>
      <c r="C35" s="39" t="s">
        <v>34</v>
      </c>
      <c r="D35" s="17"/>
      <c r="E35" s="17"/>
      <c r="F35" s="6">
        <f t="shared" si="1"/>
        <v>0</v>
      </c>
      <c r="G35" s="6">
        <f t="shared" si="2"/>
        <v>0</v>
      </c>
      <c r="H35" s="31"/>
      <c r="I35" s="31"/>
      <c r="J35" s="31"/>
      <c r="K35" s="31"/>
      <c r="L35" s="18"/>
      <c r="M35" s="31"/>
      <c r="N35" s="31"/>
      <c r="O35" s="31"/>
      <c r="P35" s="31"/>
      <c r="Q35" s="18"/>
      <c r="R35" s="3"/>
    </row>
    <row r="36" spans="1:18">
      <c r="A36" s="39" t="s">
        <v>29</v>
      </c>
      <c r="B36" s="39" t="s">
        <v>21</v>
      </c>
      <c r="C36" s="39" t="s">
        <v>25</v>
      </c>
      <c r="D36" s="17">
        <v>1</v>
      </c>
      <c r="E36" s="17">
        <v>25</v>
      </c>
      <c r="F36" s="6">
        <f t="shared" si="1"/>
        <v>18</v>
      </c>
      <c r="G36" s="6">
        <f t="shared" si="2"/>
        <v>1875</v>
      </c>
      <c r="H36" s="31"/>
      <c r="I36" s="31"/>
      <c r="J36" s="31"/>
      <c r="K36" s="31"/>
      <c r="L36" s="18">
        <v>18</v>
      </c>
      <c r="M36" s="31"/>
      <c r="N36" s="31"/>
      <c r="O36" s="31"/>
      <c r="P36" s="31"/>
      <c r="Q36" s="18">
        <v>1875</v>
      </c>
      <c r="R36" s="3"/>
    </row>
    <row r="37" spans="1:18">
      <c r="A37" s="39" t="s">
        <v>29</v>
      </c>
      <c r="B37" s="39" t="s">
        <v>67</v>
      </c>
      <c r="C37" s="39" t="s">
        <v>38</v>
      </c>
      <c r="D37" s="17">
        <v>1</v>
      </c>
      <c r="E37" s="17">
        <v>10</v>
      </c>
      <c r="F37" s="6">
        <f t="shared" si="1"/>
        <v>7650</v>
      </c>
      <c r="G37" s="6">
        <f t="shared" si="2"/>
        <v>27000</v>
      </c>
      <c r="H37" s="31"/>
      <c r="I37" s="31"/>
      <c r="J37" s="31"/>
      <c r="K37" s="31"/>
      <c r="L37" s="27">
        <v>7650</v>
      </c>
      <c r="M37" s="31"/>
      <c r="N37" s="31"/>
      <c r="O37" s="31"/>
      <c r="P37" s="31"/>
      <c r="Q37" s="27">
        <f>25000+2000</f>
        <v>27000</v>
      </c>
      <c r="R37" s="3"/>
    </row>
    <row r="38" spans="1:18" ht="15" customHeight="1">
      <c r="A38" s="39" t="s">
        <v>29</v>
      </c>
      <c r="B38" s="39" t="s">
        <v>68</v>
      </c>
      <c r="C38" s="39" t="s">
        <v>35</v>
      </c>
      <c r="D38" s="17">
        <v>1</v>
      </c>
      <c r="E38" s="17">
        <v>10</v>
      </c>
      <c r="F38" s="6">
        <f t="shared" si="1"/>
        <v>30000</v>
      </c>
      <c r="G38" s="6">
        <f t="shared" si="2"/>
        <v>300000</v>
      </c>
      <c r="H38" s="31"/>
      <c r="I38" s="31"/>
      <c r="J38" s="31"/>
      <c r="K38" s="31"/>
      <c r="L38" s="27">
        <v>30000</v>
      </c>
      <c r="M38" s="31"/>
      <c r="N38" s="31"/>
      <c r="O38" s="31"/>
      <c r="P38" s="31"/>
      <c r="Q38" s="27">
        <v>300000</v>
      </c>
      <c r="R38" s="3" t="s">
        <v>134</v>
      </c>
    </row>
    <row r="39" spans="1:18" ht="15" customHeight="1">
      <c r="A39" s="39" t="s">
        <v>29</v>
      </c>
      <c r="B39" s="39" t="s">
        <v>75</v>
      </c>
      <c r="C39" s="39" t="s">
        <v>38</v>
      </c>
      <c r="D39" s="17">
        <v>1</v>
      </c>
      <c r="E39" s="17">
        <v>10</v>
      </c>
      <c r="F39" s="6">
        <f t="shared" si="1"/>
        <v>9300</v>
      </c>
      <c r="G39" s="6">
        <f t="shared" si="2"/>
        <v>60000</v>
      </c>
      <c r="H39" s="31"/>
      <c r="I39" s="31"/>
      <c r="J39" s="31"/>
      <c r="K39" s="31"/>
      <c r="L39" s="27">
        <v>9300</v>
      </c>
      <c r="M39" s="31"/>
      <c r="N39" s="31"/>
      <c r="O39" s="31"/>
      <c r="P39" s="31"/>
      <c r="Q39" s="27">
        <v>60000</v>
      </c>
      <c r="R39" s="3" t="s">
        <v>109</v>
      </c>
    </row>
    <row r="40" spans="1:18">
      <c r="A40" s="39" t="s">
        <v>18</v>
      </c>
      <c r="B40" s="39" t="s">
        <v>127</v>
      </c>
      <c r="C40" s="39" t="s">
        <v>25</v>
      </c>
      <c r="D40" s="17">
        <v>1</v>
      </c>
      <c r="E40" s="17">
        <v>0</v>
      </c>
      <c r="F40" s="6">
        <f t="shared" si="1"/>
        <v>13.460399284960522</v>
      </c>
      <c r="G40" s="6">
        <f t="shared" si="2"/>
        <v>0</v>
      </c>
      <c r="H40" s="29">
        <f>(570000*(1+H4))/Veilengde!B6</f>
        <v>1.5571956515487044</v>
      </c>
      <c r="I40" s="29">
        <f>(1512500*(1+I4))/Veilengde!B4</f>
        <v>6.5563486374282673</v>
      </c>
      <c r="J40" s="87">
        <f>(262080*(1+J4))/Veilengde!B3</f>
        <v>0.66919929820981394</v>
      </c>
      <c r="K40" s="29">
        <f>(14365000*(1+K4))/Veilengde!B5</f>
        <v>45.0588535526553</v>
      </c>
      <c r="L40" s="17"/>
      <c r="M40" s="17"/>
      <c r="N40" s="17"/>
      <c r="O40" s="17"/>
      <c r="P40" s="17"/>
      <c r="Q40" s="17"/>
      <c r="R40" s="3" t="s">
        <v>129</v>
      </c>
    </row>
    <row r="41" spans="1:18">
      <c r="A41" s="39" t="s">
        <v>18</v>
      </c>
      <c r="B41" s="39" t="s">
        <v>102</v>
      </c>
      <c r="C41" s="39" t="s">
        <v>25</v>
      </c>
      <c r="D41" s="17">
        <v>1</v>
      </c>
      <c r="E41" s="17">
        <v>0</v>
      </c>
      <c r="F41" s="6">
        <f t="shared" si="1"/>
        <v>17.247211291163076</v>
      </c>
      <c r="G41" s="6">
        <f t="shared" si="2"/>
        <v>0</v>
      </c>
      <c r="H41" s="27">
        <f>(3850000*(1+H4))/Veilengde!B6</f>
        <v>10.517900453443003</v>
      </c>
      <c r="I41" s="27">
        <f>(6000000*(1+I4))/Veilengde!B4</f>
        <v>26.008655751781557</v>
      </c>
      <c r="J41" s="27">
        <f>(3500000*(1+J4))/Veilengde!B3</f>
        <v>8.9369564397678154</v>
      </c>
      <c r="K41" s="27">
        <f>(7500000*(1+K4))/Veilengde!B5</f>
        <v>23.525332519659923</v>
      </c>
      <c r="L41" s="17"/>
      <c r="M41" s="17"/>
      <c r="N41" s="17"/>
      <c r="O41" s="17"/>
      <c r="P41" s="17"/>
      <c r="Q41" s="17"/>
      <c r="R41" s="3" t="s">
        <v>131</v>
      </c>
    </row>
    <row r="42" spans="1:18">
      <c r="A42" s="39" t="s">
        <v>18</v>
      </c>
      <c r="B42" s="39" t="s">
        <v>128</v>
      </c>
      <c r="C42" s="39" t="s">
        <v>25</v>
      </c>
      <c r="D42" s="17">
        <v>1</v>
      </c>
      <c r="E42" s="17">
        <v>0</v>
      </c>
      <c r="F42" s="6">
        <f t="shared" si="1"/>
        <v>94.458920455661513</v>
      </c>
      <c r="G42" s="6">
        <f t="shared" si="2"/>
        <v>0</v>
      </c>
      <c r="H42" s="29">
        <f>(26835350*(1+H4))/Veilengde!B6</f>
        <v>73.312088294364074</v>
      </c>
      <c r="I42" s="29">
        <f>(22369420*(1+I4))/Veilengde!B4</f>
        <v>96.966424024502899</v>
      </c>
      <c r="J42" s="29">
        <f>(18310247*(1+J4))/Veilengde!B3</f>
        <v>46.753679954396944</v>
      </c>
      <c r="K42" s="29">
        <f>(51265000*(1+K4))/Veilengde!B5</f>
        <v>160.80348954938211</v>
      </c>
      <c r="L42" s="17"/>
      <c r="M42" s="17"/>
      <c r="N42" s="17"/>
      <c r="O42" s="17"/>
      <c r="P42" s="17"/>
      <c r="Q42" s="17"/>
      <c r="R42" s="3" t="s">
        <v>129</v>
      </c>
    </row>
    <row r="43" spans="1:18">
      <c r="A43" s="39" t="s">
        <v>41</v>
      </c>
      <c r="B43" s="39" t="str">
        <f>Beregningsark!B48</f>
        <v>&lt;Skriv her&gt;</v>
      </c>
      <c r="C43" s="39"/>
      <c r="D43" s="17"/>
      <c r="E43" s="17"/>
      <c r="F43" s="6">
        <f t="shared" si="1"/>
        <v>0</v>
      </c>
      <c r="G43" s="6">
        <f t="shared" si="2"/>
        <v>0</v>
      </c>
      <c r="H43" s="33"/>
      <c r="I43" s="17"/>
      <c r="J43" s="17"/>
      <c r="K43" s="28"/>
      <c r="L43" s="17"/>
      <c r="M43" s="17"/>
      <c r="N43" s="17"/>
      <c r="O43" s="17"/>
      <c r="P43" s="17"/>
      <c r="Q43" s="17"/>
      <c r="R43" s="3"/>
    </row>
    <row r="44" spans="1:18">
      <c r="A44" s="39" t="s">
        <v>41</v>
      </c>
      <c r="B44" s="39" t="str">
        <f>Beregningsark!B49</f>
        <v>&lt;Skriv her&gt;</v>
      </c>
      <c r="C44" s="39"/>
      <c r="D44" s="17"/>
      <c r="E44" s="17"/>
      <c r="F44" s="6">
        <f t="shared" si="1"/>
        <v>0</v>
      </c>
      <c r="G44" s="6">
        <f t="shared" si="2"/>
        <v>0</v>
      </c>
      <c r="H44" s="33"/>
      <c r="I44" s="17"/>
      <c r="J44" s="17"/>
      <c r="K44" s="28"/>
      <c r="L44" s="17"/>
      <c r="M44" s="17"/>
      <c r="N44" s="17"/>
      <c r="O44" s="17"/>
      <c r="P44" s="17"/>
      <c r="Q44" s="17"/>
      <c r="R44" s="3"/>
    </row>
    <row r="45" spans="1:18">
      <c r="A45" s="39" t="s">
        <v>41</v>
      </c>
      <c r="B45" s="39" t="str">
        <f>Beregningsark!B50</f>
        <v>&lt;Skriv her&gt;</v>
      </c>
      <c r="C45" s="39"/>
      <c r="D45" s="17"/>
      <c r="E45" s="17"/>
      <c r="F45" s="6">
        <f t="shared" si="1"/>
        <v>0</v>
      </c>
      <c r="G45" s="6">
        <f t="shared" si="2"/>
        <v>0</v>
      </c>
      <c r="H45" s="33"/>
      <c r="I45" s="17"/>
      <c r="J45" s="17"/>
      <c r="K45" s="28"/>
      <c r="L45" s="17"/>
      <c r="M45" s="17"/>
      <c r="N45" s="17"/>
      <c r="O45" s="17"/>
      <c r="P45" s="17"/>
      <c r="Q45" s="17"/>
      <c r="R45" s="3"/>
    </row>
    <row r="46" spans="1:18">
      <c r="A46" s="39" t="s">
        <v>41</v>
      </c>
      <c r="B46" s="39" t="str">
        <f>Beregningsark!B51</f>
        <v>&lt;Skriv her&gt;</v>
      </c>
      <c r="C46" s="39"/>
      <c r="D46" s="17"/>
      <c r="E46" s="17"/>
      <c r="F46" s="6">
        <f t="shared" si="1"/>
        <v>0</v>
      </c>
      <c r="G46" s="6">
        <f t="shared" si="2"/>
        <v>0</v>
      </c>
      <c r="H46" s="33"/>
      <c r="I46" s="17"/>
      <c r="J46" s="17"/>
      <c r="K46" s="28"/>
      <c r="L46" s="17"/>
      <c r="M46" s="17"/>
      <c r="N46" s="17"/>
      <c r="O46" s="17"/>
      <c r="P46" s="17"/>
      <c r="Q46" s="17"/>
      <c r="R46" s="3"/>
    </row>
    <row r="47" spans="1:18">
      <c r="A47" s="39" t="s">
        <v>41</v>
      </c>
      <c r="B47" s="39" t="str">
        <f>Beregningsark!B52</f>
        <v>&lt;Skriv her&gt;</v>
      </c>
      <c r="C47" s="39"/>
      <c r="D47" s="17"/>
      <c r="E47" s="17"/>
      <c r="F47" s="6">
        <f t="shared" si="1"/>
        <v>0</v>
      </c>
      <c r="G47" s="6">
        <f t="shared" ref="G47" si="5">IFERROR(AVERAGE(M47:Q47),0)*$A$4</f>
        <v>0</v>
      </c>
      <c r="H47" s="33"/>
      <c r="I47" s="17"/>
      <c r="J47" s="17"/>
      <c r="K47" s="28"/>
      <c r="L47" s="17"/>
      <c r="M47" s="17"/>
      <c r="N47" s="17"/>
      <c r="O47" s="17"/>
      <c r="P47" s="17"/>
      <c r="Q47" s="17"/>
      <c r="R47" s="3"/>
    </row>
  </sheetData>
  <autoFilter ref="A6:R47" xr:uid="{00000000-0009-0000-0000-000002000000}"/>
  <mergeCells count="1">
    <mergeCell ref="M5:Q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>
      <selection activeCell="E6" sqref="E6"/>
    </sheetView>
  </sheetViews>
  <sheetFormatPr baseColWidth="10" defaultRowHeight="14"/>
  <cols>
    <col min="3" max="3" width="13.08203125" customWidth="1"/>
  </cols>
  <sheetData>
    <row r="1" spans="1:5">
      <c r="A1" t="s">
        <v>54</v>
      </c>
    </row>
    <row r="3" spans="1:5">
      <c r="A3" s="12" t="s">
        <v>55</v>
      </c>
      <c r="B3" s="12" t="s">
        <v>43</v>
      </c>
      <c r="C3" s="12" t="s">
        <v>80</v>
      </c>
      <c r="D3" s="12" t="s">
        <v>97</v>
      </c>
      <c r="E3" s="12" t="s">
        <v>121</v>
      </c>
    </row>
    <row r="4" spans="1:5">
      <c r="A4" t="s">
        <v>25</v>
      </c>
      <c r="B4">
        <v>2020</v>
      </c>
      <c r="C4" t="s">
        <v>81</v>
      </c>
      <c r="D4" t="s">
        <v>15</v>
      </c>
      <c r="E4" t="s">
        <v>122</v>
      </c>
    </row>
    <row r="5" spans="1:5">
      <c r="A5" t="s">
        <v>32</v>
      </c>
      <c r="B5">
        <v>2021</v>
      </c>
      <c r="C5" t="s">
        <v>82</v>
      </c>
      <c r="D5" t="s">
        <v>15</v>
      </c>
      <c r="E5" t="s">
        <v>123</v>
      </c>
    </row>
    <row r="6" spans="1:5">
      <c r="A6" t="s">
        <v>34</v>
      </c>
      <c r="B6">
        <v>2022</v>
      </c>
      <c r="C6" t="s">
        <v>83</v>
      </c>
      <c r="D6" t="s">
        <v>17</v>
      </c>
    </row>
    <row r="7" spans="1:5">
      <c r="A7" t="s">
        <v>35</v>
      </c>
      <c r="B7">
        <v>2023</v>
      </c>
      <c r="C7" t="s">
        <v>84</v>
      </c>
      <c r="D7" t="s">
        <v>17</v>
      </c>
    </row>
    <row r="8" spans="1:5">
      <c r="A8" t="s">
        <v>2</v>
      </c>
      <c r="B8">
        <v>2024</v>
      </c>
      <c r="C8" t="s">
        <v>85</v>
      </c>
      <c r="D8" t="s">
        <v>15</v>
      </c>
    </row>
    <row r="9" spans="1:5">
      <c r="A9" t="s">
        <v>38</v>
      </c>
      <c r="B9">
        <v>2025</v>
      </c>
      <c r="C9" t="s">
        <v>86</v>
      </c>
      <c r="D9" t="s">
        <v>17</v>
      </c>
    </row>
    <row r="10" spans="1:5">
      <c r="B10">
        <v>2026</v>
      </c>
      <c r="C10" t="s">
        <v>87</v>
      </c>
      <c r="D10" t="s">
        <v>16</v>
      </c>
    </row>
    <row r="11" spans="1:5">
      <c r="B11">
        <v>2027</v>
      </c>
      <c r="C11" t="s">
        <v>88</v>
      </c>
      <c r="D11" t="s">
        <v>14</v>
      </c>
    </row>
    <row r="12" spans="1:5">
      <c r="B12">
        <v>2028</v>
      </c>
      <c r="C12" t="s">
        <v>89</v>
      </c>
      <c r="D12" t="s">
        <v>17</v>
      </c>
    </row>
    <row r="13" spans="1:5">
      <c r="B13">
        <v>2029</v>
      </c>
      <c r="C13" t="s">
        <v>17</v>
      </c>
      <c r="D13" t="s">
        <v>17</v>
      </c>
    </row>
    <row r="14" spans="1:5">
      <c r="B14">
        <v>2030</v>
      </c>
      <c r="C14" t="s">
        <v>90</v>
      </c>
      <c r="D14" t="s">
        <v>17</v>
      </c>
    </row>
    <row r="15" spans="1:5">
      <c r="C15" t="s">
        <v>91</v>
      </c>
      <c r="D15" t="s">
        <v>15</v>
      </c>
    </row>
    <row r="16" spans="1:5">
      <c r="C16" t="s">
        <v>92</v>
      </c>
      <c r="D16" t="s">
        <v>14</v>
      </c>
    </row>
    <row r="17" spans="3:4">
      <c r="C17" t="s">
        <v>93</v>
      </c>
      <c r="D17" t="s">
        <v>16</v>
      </c>
    </row>
    <row r="18" spans="3:4">
      <c r="C18" t="s">
        <v>94</v>
      </c>
      <c r="D18" t="s">
        <v>16</v>
      </c>
    </row>
    <row r="19" spans="3:4">
      <c r="C19" t="s">
        <v>95</v>
      </c>
      <c r="D19" t="s">
        <v>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>
      <selection activeCell="C20" sqref="C20"/>
    </sheetView>
  </sheetViews>
  <sheetFormatPr baseColWidth="10" defaultRowHeight="14"/>
  <cols>
    <col min="1" max="1" width="13.25" customWidth="1"/>
    <col min="2" max="2" width="23.08203125" customWidth="1"/>
    <col min="3" max="3" width="28.33203125" customWidth="1"/>
  </cols>
  <sheetData>
    <row r="1" spans="1:3">
      <c r="B1">
        <v>1000</v>
      </c>
    </row>
    <row r="2" spans="1:3">
      <c r="A2" s="2" t="s">
        <v>42</v>
      </c>
      <c r="B2" s="2" t="s">
        <v>99</v>
      </c>
      <c r="C2" s="4" t="s">
        <v>70</v>
      </c>
    </row>
    <row r="3" spans="1:3">
      <c r="A3" s="3" t="s">
        <v>16</v>
      </c>
      <c r="B3" s="21">
        <v>450847</v>
      </c>
      <c r="C3" s="5">
        <v>17.495000000000001</v>
      </c>
    </row>
    <row r="4" spans="1:3">
      <c r="A4" s="3" t="s">
        <v>15</v>
      </c>
      <c r="B4" s="21">
        <v>260867.00000000003</v>
      </c>
      <c r="C4" s="5">
        <v>13.21</v>
      </c>
    </row>
    <row r="5" spans="1:3">
      <c r="A5" s="3" t="s">
        <v>17</v>
      </c>
      <c r="B5" s="21">
        <v>360505</v>
      </c>
      <c r="C5" s="5">
        <v>62.518000000000001</v>
      </c>
    </row>
    <row r="6" spans="1:3">
      <c r="A6" s="3" t="s">
        <v>14</v>
      </c>
      <c r="B6" s="21">
        <v>417252</v>
      </c>
      <c r="C6" s="5">
        <v>27.312999999999999</v>
      </c>
    </row>
    <row r="7" spans="1:3">
      <c r="A7" s="2" t="s">
        <v>4</v>
      </c>
      <c r="B7" s="22">
        <v>1489.471</v>
      </c>
      <c r="C7" s="23">
        <f>SUM(C3:C6)</f>
        <v>120.536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Beregningsark</vt:lpstr>
      <vt:lpstr>Priser</vt:lpstr>
      <vt:lpstr>Validering</vt:lpstr>
      <vt:lpstr>Veilengde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Simonsen</dc:creator>
  <cp:lastModifiedBy>Joakim Hjertum</cp:lastModifiedBy>
  <dcterms:created xsi:type="dcterms:W3CDTF">2014-10-08T05:42:13Z</dcterms:created>
  <dcterms:modified xsi:type="dcterms:W3CDTF">2023-05-11T15:23:09Z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396b7-5846-48ff-8468-5f49f8ad722a_Enabled">
    <vt:lpwstr>true</vt:lpwstr>
  </property>
  <property fmtid="{D5CDD505-2E9C-101B-9397-08002B2CF9AE}" pid="3" name="MSIP_Label_7a2396b7-5846-48ff-8468-5f49f8ad722a_SetDate">
    <vt:lpwstr>2023-03-02T09:38:15Z</vt:lpwstr>
  </property>
  <property fmtid="{D5CDD505-2E9C-101B-9397-08002B2CF9AE}" pid="4" name="MSIP_Label_7a2396b7-5846-48ff-8468-5f49f8ad722a_Method">
    <vt:lpwstr>Standard</vt:lpwstr>
  </property>
  <property fmtid="{D5CDD505-2E9C-101B-9397-08002B2CF9AE}" pid="5" name="MSIP_Label_7a2396b7-5846-48ff-8468-5f49f8ad722a_Name">
    <vt:lpwstr>Lav</vt:lpwstr>
  </property>
  <property fmtid="{D5CDD505-2E9C-101B-9397-08002B2CF9AE}" pid="6" name="MSIP_Label_7a2396b7-5846-48ff-8468-5f49f8ad722a_SiteId">
    <vt:lpwstr>e6795081-6391-442e-9ab4-5e9ef74f18ea</vt:lpwstr>
  </property>
  <property fmtid="{D5CDD505-2E9C-101B-9397-08002B2CF9AE}" pid="7" name="MSIP_Label_7a2396b7-5846-48ff-8468-5f49f8ad722a_ActionId">
    <vt:lpwstr>5dda1da2-5591-4f10-b1a0-02bd16a47254</vt:lpwstr>
  </property>
  <property fmtid="{D5CDD505-2E9C-101B-9397-08002B2CF9AE}" pid="8" name="MSIP_Label_7a2396b7-5846-48ff-8468-5f49f8ad722a_ContentBits">
    <vt:lpwstr>0</vt:lpwstr>
  </property>
</Properties>
</file>